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scjgovcol.sharepoint.com/sites/PDD_PROYECTOS/Documentos compartidos/Repositorio Proyectos OAP/01. Programación/04. Anteproyecto/2026/04. Anteproyecto definitivo/10. Nueva Radicación a SHD y SDP/"/>
    </mc:Choice>
  </mc:AlternateContent>
  <xr:revisionPtr revIDLastSave="1787" documentId="14_{5135CBCC-49EA-4E0C-B627-B10BF9F4E8FF}" xr6:coauthVersionLast="47" xr6:coauthVersionMax="47" xr10:uidLastSave="{30335DCB-84AE-4AB4-9BBB-B13A17B9B7A2}"/>
  <bookViews>
    <workbookView xWindow="-120" yWindow="-120" windowWidth="29040" windowHeight="15720" firstSheet="2" activeTab="2" xr2:uid="{58C5028B-60C5-4558-AB46-900E179AB3DF}"/>
  </bookViews>
  <sheets>
    <sheet name="Hoja1" sheetId="2" state="hidden" r:id="rId1"/>
    <sheet name="01. Resumen" sheetId="3" state="hidden" r:id="rId2"/>
    <sheet name="02. Detalle de VF 2025" sheetId="1" r:id="rId3"/>
    <sheet name="03. Seguimiento VF Autorizadas" sheetId="4" r:id="rId4"/>
    <sheet name="04. Informe de Ejecución" sheetId="5" r:id="rId5"/>
  </sheets>
  <definedNames>
    <definedName name="_xlnm._FilterDatabase" localSheetId="4" hidden="1">'04. Informe de Ejecución'!$J$1:$K$35</definedName>
    <definedName name="_msoanchor_1">#REF!</definedName>
  </definedNames>
  <calcPr calcId="191028"/>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4" i="1" l="1"/>
  <c r="AA32" i="1"/>
  <c r="AA29" i="1"/>
  <c r="K41" i="1"/>
  <c r="L41" i="1"/>
  <c r="Q41" i="1"/>
  <c r="R41" i="1"/>
  <c r="AA3" i="1"/>
  <c r="Z3" i="1" l="1"/>
  <c r="Z4" i="1"/>
  <c r="Z5" i="1"/>
  <c r="Z6" i="1"/>
  <c r="Z7" i="1"/>
  <c r="Z8" i="1"/>
  <c r="Z9" i="1"/>
  <c r="Z10" i="1"/>
  <c r="Z11" i="1"/>
  <c r="Z12" i="1"/>
  <c r="Z13" i="1"/>
  <c r="Z14" i="1"/>
  <c r="Z15" i="1"/>
  <c r="K14" i="4" l="1"/>
  <c r="J14" i="4"/>
  <c r="E17" i="5" s="1"/>
  <c r="I14" i="4"/>
  <c r="D17" i="5" s="1"/>
  <c r="D28" i="5"/>
  <c r="I28" i="5" s="1"/>
  <c r="E28" i="5"/>
  <c r="F28" i="5"/>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8" i="1"/>
  <c r="U38" i="1" s="1"/>
  <c r="T39" i="1"/>
  <c r="U39" i="1" s="1"/>
  <c r="T40" i="1"/>
  <c r="U40" i="1" s="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8" i="1"/>
  <c r="O38" i="1" s="1"/>
  <c r="N39" i="1"/>
  <c r="O39" i="1" s="1"/>
  <c r="N40" i="1"/>
  <c r="O40" i="1" s="1"/>
  <c r="M26" i="4"/>
  <c r="I33" i="5"/>
  <c r="E33" i="5"/>
  <c r="F33" i="5"/>
  <c r="D33" i="5"/>
  <c r="E32" i="5"/>
  <c r="E38" i="5" s="1"/>
  <c r="F32" i="5"/>
  <c r="D32" i="5"/>
  <c r="I32" i="5" s="1"/>
  <c r="K30" i="5"/>
  <c r="I31" i="5"/>
  <c r="E31" i="5"/>
  <c r="F31" i="5"/>
  <c r="D31" i="5"/>
  <c r="E30" i="5"/>
  <c r="F30" i="5"/>
  <c r="D30" i="5"/>
  <c r="I30" i="5" s="1"/>
  <c r="K28" i="5"/>
  <c r="I29" i="5"/>
  <c r="E29" i="5"/>
  <c r="F29" i="5"/>
  <c r="D29" i="5"/>
  <c r="K26" i="5"/>
  <c r="I27" i="5"/>
  <c r="E27" i="5"/>
  <c r="F27" i="5"/>
  <c r="D27" i="5"/>
  <c r="E26" i="5"/>
  <c r="F26" i="5"/>
  <c r="D26" i="5"/>
  <c r="I26" i="5" s="1"/>
  <c r="K24" i="5"/>
  <c r="I25" i="5"/>
  <c r="E25" i="5"/>
  <c r="F25" i="5"/>
  <c r="D25" i="5"/>
  <c r="E24" i="5"/>
  <c r="F24" i="5"/>
  <c r="D24" i="5"/>
  <c r="I24" i="5" s="1"/>
  <c r="K22" i="5"/>
  <c r="I23" i="5"/>
  <c r="E23" i="5"/>
  <c r="F23" i="5"/>
  <c r="D23" i="5"/>
  <c r="E22" i="5"/>
  <c r="F22" i="5"/>
  <c r="D22" i="5"/>
  <c r="I22" i="5" s="1"/>
  <c r="K20" i="5"/>
  <c r="I21" i="5"/>
  <c r="E21" i="5"/>
  <c r="F21" i="5"/>
  <c r="D21" i="5"/>
  <c r="E20" i="5"/>
  <c r="F20" i="5"/>
  <c r="D20" i="5"/>
  <c r="I20" i="5" s="1"/>
  <c r="K18" i="5"/>
  <c r="I19" i="5"/>
  <c r="E18" i="5"/>
  <c r="F18" i="5"/>
  <c r="D18" i="5"/>
  <c r="I18" i="5" s="1"/>
  <c r="K16" i="5"/>
  <c r="I17" i="5"/>
  <c r="F17" i="5"/>
  <c r="E16" i="5"/>
  <c r="F16" i="5"/>
  <c r="D16" i="5"/>
  <c r="I16" i="5" s="1"/>
  <c r="K14" i="5"/>
  <c r="I15" i="5"/>
  <c r="E15" i="5"/>
  <c r="F15" i="5"/>
  <c r="D15" i="5"/>
  <c r="E14" i="5"/>
  <c r="F14" i="5"/>
  <c r="D14" i="5"/>
  <c r="I14" i="5" s="1"/>
  <c r="I9" i="5"/>
  <c r="I13" i="5"/>
  <c r="E13" i="5"/>
  <c r="F13" i="5"/>
  <c r="D13" i="5"/>
  <c r="K12" i="5"/>
  <c r="E12" i="5"/>
  <c r="F12" i="5"/>
  <c r="D12" i="5"/>
  <c r="I12" i="5" s="1"/>
  <c r="E11" i="5"/>
  <c r="F11" i="5"/>
  <c r="D11" i="5"/>
  <c r="I11" i="5"/>
  <c r="K10" i="5"/>
  <c r="F9" i="5"/>
  <c r="D9" i="5"/>
  <c r="E10" i="5"/>
  <c r="F10" i="5"/>
  <c r="D10" i="5"/>
  <c r="I10" i="5" s="1"/>
  <c r="E8" i="5"/>
  <c r="F8" i="5"/>
  <c r="D8" i="5"/>
  <c r="I8" i="5" s="1"/>
  <c r="E6" i="5"/>
  <c r="F6" i="5"/>
  <c r="D6" i="5"/>
  <c r="I6" i="5" s="1"/>
  <c r="E4" i="5"/>
  <c r="F4" i="5"/>
  <c r="D4" i="5"/>
  <c r="F2" i="5"/>
  <c r="E2" i="5"/>
  <c r="D2" i="5"/>
  <c r="I2" i="5" s="1"/>
  <c r="K8" i="5"/>
  <c r="I7" i="5"/>
  <c r="E7" i="5"/>
  <c r="F7" i="5"/>
  <c r="D7" i="5"/>
  <c r="K6" i="5"/>
  <c r="I5" i="5"/>
  <c r="I3" i="5"/>
  <c r="F5" i="5"/>
  <c r="E5" i="5"/>
  <c r="D5" i="5"/>
  <c r="K4" i="5"/>
  <c r="F3" i="5"/>
  <c r="E3" i="5"/>
  <c r="D3" i="5"/>
  <c r="K2" i="5"/>
  <c r="N41" i="1" l="1"/>
  <c r="T41" i="1"/>
  <c r="G28" i="5"/>
  <c r="H28" i="5" s="1"/>
  <c r="J45" i="1"/>
  <c r="P45" i="1"/>
  <c r="G23" i="5"/>
  <c r="H23" i="5" s="1"/>
  <c r="G2" i="5"/>
  <c r="H2" i="5" s="1"/>
  <c r="G27" i="5"/>
  <c r="H27" i="5" s="1"/>
  <c r="G25" i="5"/>
  <c r="H25" i="5" s="1"/>
  <c r="G22" i="5"/>
  <c r="H22" i="5" s="1"/>
  <c r="G30" i="5"/>
  <c r="H30" i="5" s="1"/>
  <c r="G32" i="5"/>
  <c r="H32" i="5" s="1"/>
  <c r="G20" i="5"/>
  <c r="H20" i="5" s="1"/>
  <c r="G31" i="5"/>
  <c r="H31" i="5" s="1"/>
  <c r="F34" i="5"/>
  <c r="I35" i="5"/>
  <c r="G29" i="5"/>
  <c r="H29" i="5" s="1"/>
  <c r="G26" i="5"/>
  <c r="H26" i="5" s="1"/>
  <c r="G33" i="5"/>
  <c r="H33" i="5" s="1"/>
  <c r="E34" i="5"/>
  <c r="G17" i="5"/>
  <c r="H17" i="5" s="1"/>
  <c r="G11" i="5"/>
  <c r="G14" i="5"/>
  <c r="H14" i="5" s="1"/>
  <c r="G13" i="5"/>
  <c r="H13" i="5" s="1"/>
  <c r="G5" i="5"/>
  <c r="G18" i="5"/>
  <c r="H18" i="5" s="1"/>
  <c r="D34" i="5"/>
  <c r="G16" i="5"/>
  <c r="H16" i="5" s="1"/>
  <c r="G21" i="5"/>
  <c r="G7" i="5"/>
  <c r="G12" i="5"/>
  <c r="H12" i="5" s="1"/>
  <c r="G15" i="5"/>
  <c r="G6" i="5"/>
  <c r="H6" i="5" s="1"/>
  <c r="I4" i="5"/>
  <c r="I34" i="5" s="1"/>
  <c r="G4" i="5"/>
  <c r="G3" i="5"/>
  <c r="K15" i="4"/>
  <c r="F19" i="5" s="1"/>
  <c r="F35" i="5" s="1"/>
  <c r="J15" i="4"/>
  <c r="I15" i="4"/>
  <c r="D19" i="5" s="1"/>
  <c r="D35" i="5" s="1"/>
  <c r="D36" i="5" s="1"/>
  <c r="J8" i="4"/>
  <c r="E9" i="5" s="1"/>
  <c r="L3" i="4"/>
  <c r="L4" i="4"/>
  <c r="L5" i="4"/>
  <c r="L6" i="4"/>
  <c r="L7" i="4"/>
  <c r="L9" i="4"/>
  <c r="L10" i="4"/>
  <c r="L11" i="4"/>
  <c r="L12" i="4"/>
  <c r="L13" i="4"/>
  <c r="L14" i="4"/>
  <c r="L16" i="4"/>
  <c r="L17" i="4"/>
  <c r="L18" i="4"/>
  <c r="L19" i="4"/>
  <c r="L20" i="4"/>
  <c r="L21" i="4"/>
  <c r="L22" i="4"/>
  <c r="L23" i="4"/>
  <c r="L24" i="4"/>
  <c r="L25" i="4"/>
  <c r="K26" i="4"/>
  <c r="G15" i="2"/>
  <c r="F15" i="2"/>
  <c r="J41" i="1"/>
  <c r="Z27" i="1" l="1"/>
  <c r="Z39" i="1"/>
  <c r="Z40" i="1"/>
  <c r="Z20" i="1"/>
  <c r="Z22" i="1"/>
  <c r="Z23" i="1"/>
  <c r="Z24" i="1"/>
  <c r="Z25" i="1"/>
  <c r="Z26" i="1"/>
  <c r="Z16" i="1"/>
  <c r="Z28" i="1"/>
  <c r="Z31" i="1"/>
  <c r="Z32" i="1"/>
  <c r="Z21" i="1"/>
  <c r="Z34" i="1"/>
  <c r="Z36" i="1"/>
  <c r="Z17" i="1"/>
  <c r="Z29" i="1"/>
  <c r="Z18" i="1"/>
  <c r="Z30" i="1"/>
  <c r="Z19" i="1"/>
  <c r="Z33" i="1"/>
  <c r="Z35" i="1"/>
  <c r="Z37" i="1"/>
  <c r="Z38" i="1"/>
  <c r="F36" i="5"/>
  <c r="L15" i="4"/>
  <c r="E19" i="5"/>
  <c r="G19" i="5" s="1"/>
  <c r="I26" i="4"/>
  <c r="G9" i="5"/>
  <c r="G35" i="5" s="1"/>
  <c r="L8" i="4"/>
  <c r="L26" i="4" s="1"/>
  <c r="I36" i="5"/>
  <c r="J26" i="4"/>
  <c r="J22" i="5"/>
  <c r="J28" i="5"/>
  <c r="J30" i="5"/>
  <c r="J4" i="5"/>
  <c r="J26" i="5"/>
  <c r="J32" i="5"/>
  <c r="H15" i="5"/>
  <c r="J14" i="5"/>
  <c r="H3" i="5"/>
  <c r="J2" i="5"/>
  <c r="H19" i="5"/>
  <c r="J18" i="5"/>
  <c r="H11" i="5"/>
  <c r="H7" i="5"/>
  <c r="J6" i="5"/>
  <c r="H4" i="5"/>
  <c r="H21" i="5"/>
  <c r="J20" i="5"/>
  <c r="H5" i="5"/>
  <c r="J16" i="5"/>
  <c r="J12" i="5"/>
  <c r="O29" i="1"/>
  <c r="U29" i="1"/>
  <c r="O30" i="1"/>
  <c r="U30" i="1"/>
  <c r="O31" i="1"/>
  <c r="U31" i="1"/>
  <c r="O4" i="1"/>
  <c r="O5" i="1"/>
  <c r="O6" i="1"/>
  <c r="O7" i="1"/>
  <c r="O8" i="1"/>
  <c r="O9" i="1"/>
  <c r="O11" i="1"/>
  <c r="O13" i="1"/>
  <c r="O14" i="1"/>
  <c r="O15" i="1"/>
  <c r="O16" i="1"/>
  <c r="O17" i="1"/>
  <c r="O18" i="1"/>
  <c r="O19" i="1"/>
  <c r="O20" i="1"/>
  <c r="O21" i="1"/>
  <c r="O22" i="1"/>
  <c r="O23" i="1"/>
  <c r="O24" i="1"/>
  <c r="O25" i="1"/>
  <c r="O26" i="1"/>
  <c r="O28" i="1"/>
  <c r="O32" i="1"/>
  <c r="O33" i="1"/>
  <c r="O34" i="1"/>
  <c r="O35" i="1"/>
  <c r="O36" i="1"/>
  <c r="U4" i="1"/>
  <c r="U5" i="1"/>
  <c r="U6" i="1"/>
  <c r="U7" i="1"/>
  <c r="U8" i="1"/>
  <c r="U9" i="1"/>
  <c r="U10" i="1"/>
  <c r="U11" i="1"/>
  <c r="U12" i="1"/>
  <c r="U13" i="1"/>
  <c r="U14" i="1"/>
  <c r="U15" i="1"/>
  <c r="U16" i="1"/>
  <c r="U17" i="1"/>
  <c r="U18" i="1"/>
  <c r="U19" i="1"/>
  <c r="U20" i="1"/>
  <c r="U21" i="1"/>
  <c r="U22" i="1"/>
  <c r="U23" i="1"/>
  <c r="U25" i="1"/>
  <c r="U26" i="1"/>
  <c r="U27" i="1"/>
  <c r="U28" i="1"/>
  <c r="U32" i="1"/>
  <c r="U33" i="1"/>
  <c r="U34" i="1"/>
  <c r="U36" i="1"/>
  <c r="H9" i="5" l="1"/>
  <c r="E35" i="5"/>
  <c r="E36" i="5" s="1"/>
  <c r="O27" i="1"/>
  <c r="G24" i="5"/>
  <c r="H35" i="5"/>
  <c r="O12" i="1"/>
  <c r="G10" i="5"/>
  <c r="O10" i="1"/>
  <c r="G8" i="5"/>
  <c r="U35" i="1"/>
  <c r="U3" i="1"/>
  <c r="O3" i="1"/>
  <c r="P24" i="1"/>
  <c r="P41" i="1" s="1"/>
  <c r="O41" i="1" l="1"/>
  <c r="J24" i="5"/>
  <c r="H24" i="5"/>
  <c r="H8" i="5"/>
  <c r="J8" i="5"/>
  <c r="G34" i="5"/>
  <c r="H10" i="5"/>
  <c r="J10" i="5"/>
  <c r="U24" i="1"/>
  <c r="U41" i="1" s="1"/>
  <c r="J34" i="5" l="1"/>
  <c r="G36" i="5"/>
  <c r="H34" i="5"/>
  <c r="H36" i="5" s="1"/>
</calcChain>
</file>

<file path=xl/sharedStrings.xml><?xml version="1.0" encoding="utf-8"?>
<sst xmlns="http://schemas.openxmlformats.org/spreadsheetml/2006/main" count="691" uniqueCount="293">
  <si>
    <t>MES / TEMA</t>
  </si>
  <si>
    <t>TOTAL</t>
  </si>
  <si>
    <t>ABRIL</t>
  </si>
  <si>
    <t>01. ALIMENTACIÓN CÁRCEL</t>
  </si>
  <si>
    <t>02. MANTENIMIENTO AERONAVES</t>
  </si>
  <si>
    <t>03. MANTENIMIENTO AIRES ACONDICIONADOS</t>
  </si>
  <si>
    <t>04. COMBUSTIBLE</t>
  </si>
  <si>
    <t> </t>
  </si>
  <si>
    <t>05. MANTENIMIENTO EQUIPAMIENTOS</t>
  </si>
  <si>
    <t>06. MANTENIMIENTO ASCENSORES</t>
  </si>
  <si>
    <t>07. MANTENIMIENTO CARCEL</t>
  </si>
  <si>
    <t>08. VIGILANCIA</t>
  </si>
  <si>
    <t>09. TRANSPORTE</t>
  </si>
  <si>
    <t>10. RADIO TRONCALIZADO</t>
  </si>
  <si>
    <t>11. OPERADOR LOGÍSTICO</t>
  </si>
  <si>
    <t>12. MESA DE SERVICIOS</t>
  </si>
  <si>
    <t>13. SALUD CÁRCEL</t>
  </si>
  <si>
    <t>MAYO</t>
  </si>
  <si>
    <t>14. ARRENDAMIENTO</t>
  </si>
  <si>
    <t>JUNIO</t>
  </si>
  <si>
    <t>16. GESTORES DE CONVIVENCIA</t>
  </si>
  <si>
    <t>JULIO</t>
  </si>
  <si>
    <t>17. CONECTIVIDAD</t>
  </si>
  <si>
    <t>ESTADO</t>
  </si>
  <si>
    <t>(Varios elementos)</t>
  </si>
  <si>
    <t>Rubro</t>
  </si>
  <si>
    <t>(Todas)</t>
  </si>
  <si>
    <t>VIGENCIAS FUTURAS AUTORIZADAS</t>
  </si>
  <si>
    <t>Etiquetas de fila</t>
  </si>
  <si>
    <t>Suma de Recursos disponibles 2025</t>
  </si>
  <si>
    <t>Suma de Recursos vigencia futura 2026</t>
  </si>
  <si>
    <t>Suma de Recursos vigencia futura 2027</t>
  </si>
  <si>
    <t>Suma de TOTAL CORRIENTES</t>
  </si>
  <si>
    <t>Suma de VALOR TOTAL CONTRATO CORRIENTES</t>
  </si>
  <si>
    <t>15. GESTORES DE CONVIVENCIA</t>
  </si>
  <si>
    <t>16. CONECTIVIDAD</t>
  </si>
  <si>
    <t>Total general</t>
  </si>
  <si>
    <t>CORRIENTES</t>
  </si>
  <si>
    <t>CONSTANTES</t>
  </si>
  <si>
    <t>No.</t>
  </si>
  <si>
    <t>META PDD</t>
  </si>
  <si>
    <t>ACT PROYECTO</t>
  </si>
  <si>
    <t>Concepto de Gasto</t>
  </si>
  <si>
    <t>Fuente</t>
  </si>
  <si>
    <t>Objeto</t>
  </si>
  <si>
    <t>TEMA</t>
  </si>
  <si>
    <t>Linea de Inversión</t>
  </si>
  <si>
    <t>Recursos disponibles 2025</t>
  </si>
  <si>
    <t>Recursos vigencia futura 2026</t>
  </si>
  <si>
    <t>Recursos vigencia futura 2027</t>
  </si>
  <si>
    <t>Recursos vigencia futura 2028</t>
  </si>
  <si>
    <t>TOTAL CORRIENTES</t>
  </si>
  <si>
    <t>VALOR TOTAL CONTRATO CORRIENTES</t>
  </si>
  <si>
    <t>2025</t>
  </si>
  <si>
    <t>2026</t>
  </si>
  <si>
    <t>2027</t>
  </si>
  <si>
    <t>2028</t>
  </si>
  <si>
    <t>TOTAL CONSTANTES</t>
  </si>
  <si>
    <t>VALOR TOTAL CONTRATO CONSTANTES</t>
  </si>
  <si>
    <t>Radicado enviado a CONFIS</t>
  </si>
  <si>
    <t>FECHA DE APROBACIÓN</t>
  </si>
  <si>
    <t>Radicado de Autorización del Confis</t>
  </si>
  <si>
    <t>Columna1</t>
  </si>
  <si>
    <t>Columna2</t>
  </si>
  <si>
    <t>Columna3</t>
  </si>
  <si>
    <t>305 (8235)</t>
  </si>
  <si>
    <t>Implementar 1 Plan(es) de atención y descongestión carcelaria que incluya la implementación de mecanismos de justicia restaurativa atención integral a PPL y atención a la población pospenada</t>
  </si>
  <si>
    <t>Garantizar al 100 Porciento de la población Privada de la libertad sus condiciones de vida digna y respeto a los derechos humanos en los establecimientos carcelarios y centros de detención</t>
  </si>
  <si>
    <t>O232020200663393_Otros servicios de comidas contratadas</t>
  </si>
  <si>
    <t>1-100-F001_ VA-RECURSOS DISTRITO</t>
  </si>
  <si>
    <t>PRESTAR EL SERVICIO DE ALIMENTACIÓN PREPARADA EN SITIO BAJO LA MODALIDAD DE RACIÓN DIARIA CON DESTINO A TODAS LAS PERSONAS PRIVADAS DE LA LIBERTAD QUE SE ENCUENTRAN EN LA CÁRCEL DISTRITAL DE VARONES Y ANEXO DE MUJERES DE BOGOTÁ D.C.”.</t>
  </si>
  <si>
    <t>APROBADA</t>
  </si>
  <si>
    <t xml:space="preserve"> 2-2025-21476 </t>
  </si>
  <si>
    <t xml:space="preserve">	 1-2025-26876</t>
  </si>
  <si>
    <t>290 (8177)</t>
  </si>
  <si>
    <t>Aplicar 1 Modelo(s) de fortalecimiento a las capacidades operativas de vigilancia policial funciones militares y otras de apoyo a la seguridad la convivencia y la justicia</t>
  </si>
  <si>
    <t>Desarrollar 1 Estrategia(s) de dotación a los organismos de seguridad y justicia</t>
  </si>
  <si>
    <t xml:space="preserve">O23202020088714999_Servicio de mantenimiento y reparación de otro equipo de transporte n.c.p., excepto vehículos automotores y motocicletas </t>
  </si>
  <si>
    <t xml:space="preserve"> 1-100-I015_ VA-5% CONTRATOS DE OBRA PÚBLICA </t>
  </si>
  <si>
    <t>REALIZAR EL MANTENIMIENTO PREVENTIVO Y CORRECTIVO DE LAS AERONAVES ADSCRITAS AL PROGRAMA DE VIGILANCIA Y SEGURIDAD AÉREA URBANA DENOMINADO “HALCON”; ASI COMO EL EQUIPO MISIÓN</t>
  </si>
  <si>
    <t xml:space="preserve">INTERVENTORIA AL MANTENIMIENTO PREVENTIVO Y CORRECTIVO DE LAS AERONAVES ADSCRITAS AL PROGRAMA DE VIGILANCIA Y SEGURIDAD AÉREA URBANA DENOMINADO “HALCON”; ASI COMO EL EQUIPO MISIÓN
</t>
  </si>
  <si>
    <t>314 (8230)</t>
  </si>
  <si>
    <t>Ejecutar al, 100, %, la prestación de servicios de seguridad convivencia y justicia garantizando la operación y gestión de la estructura organizacional</t>
  </si>
  <si>
    <t>Realizar el 100 Porciento del servicio de mantenimiento locativo y dotación (infraestructura) de las sedes al servicio de la SDSCJ.</t>
  </si>
  <si>
    <t>O23202020088715999_Servicio de mantenimiento y reparación de otros equipos n.c.p.</t>
  </si>
  <si>
    <t>REALIZAR EL MANTENIMIENTO PREVENTIVO Y/O CORRECTIVO CON SUMINISTRO DE REPUESTOS A LAS PLANTAS ELÉCTRICAS, AIRES ACONDICIONADOS Y UPS DE LOS ORGANISMOS DE SEGURIDAD E INTELIGENCIA DEL ESTADO CON JURISDICCIÓN EN EL DISTRITO CAPITAL Y LA SECRETARIA DISTRITAL DE SEGURIDAD, CONVIVENCIA Y JUSTICIA.</t>
  </si>
  <si>
    <t>INTERVENTORIA AL MANTENIMIENTO PREVENTIVO Y/O CORRECTIVO CON SUMINISTRO DE REPUESTOS A LAS PLANTAS ELÉCTRICAS, AIRES ACONDICIONADOS Y UPS DE LA SECRETARIA DISTRITAL DE SEGURIDAD, CONVIVENCIA Y JUSTICIA.</t>
  </si>
  <si>
    <t>Desarrollar 1 Plan(es) de mejoramiento de los organismos de seguridad con énfasis en tecnología, para proyectar su crecimiento y avanzar hacia la anticipación y la respuesta oportuna y efectiva a incidentes complejos o de alto impacto.</t>
  </si>
  <si>
    <t>Proveer el 100 Porciento de los servicios administrativos necesarios para la operación y funcionamiento de la entidad con debida oportunidad</t>
  </si>
  <si>
    <t>O232020200662291- Comercio al por menor de combustibles para vehículos automotores,  aceites y grasas  lubricantes y productos relacionados en establecimientos especializados</t>
  </si>
  <si>
    <t>SUMINISTRO DE COMBUSTIBLE PARA LOS AUTOMOTORES DE LOS ORGANISMOS DE SEGURIDAD DEL D.C, LAS CASAS DE JUSTICIA MÓVILES Y LOS EQUIPOS DE COMBUSTIÓN INTERNA DE PROPIEDAD Y/O A CARGO DE LA SDSCJ.</t>
  </si>
  <si>
    <t>Desarrollar 1 Plan(es) para organismos de seguridad y justicia</t>
  </si>
  <si>
    <t>O2320202005040154129 - Servicios generales de construcción de otros edificios no residenciales</t>
  </si>
  <si>
    <t>REALIZAR EL MANTENIMIENTO Y MEJORAMIENTO DE LOS EQUIPAMIENTOS DE INFRAESTRUCTURA A CARGO DE LA SDSCJ Y AGENCIAS</t>
  </si>
  <si>
    <t>O2320202005040154129_Servicios generales de construcción de otros edificios no residenciales.</t>
  </si>
  <si>
    <t>REALIZAR LA INTERVENTORIA AL CONTRATO DE MANTENIMIENTO Y MEJORAMIENTO DE LOS EQUIPAMIENTOS DE INFRAESTRUCTURA A CARGO DE LA SDSCJ Y AGENCIAS</t>
  </si>
  <si>
    <t>O23202020088715701- Servicio de mantenimiento y reparación de ascensores</t>
  </si>
  <si>
    <t>REALIZAR EL MANTENIMIENTO PREVENTIVO Y CORRECTIVO DE LOS ASCENSORES EN PROPIEDAD O A CARGO DE LA SDSCJ</t>
  </si>
  <si>
    <t xml:space="preserve"> 1-100-F001_ VA-RECURSOS DISTRITO </t>
  </si>
  <si>
    <t>MANTENIMIENTO PREVENTIVO Y CORRECTIVO DE INFRAESTRUCTURA FÍSICA Y EQUIPOS DE LA CÁRCEL DISTRITAL DE VARONES Y ANEXO DE MUJERES ADMINISTRADA POR LA SDSCJ</t>
  </si>
  <si>
    <t>O2320202005040254290_Servicios generales de construcción de otras obras de ingeniería civil</t>
  </si>
  <si>
    <t>INTERVENTORÍA MANTENIMIENTO PREVENTIVO Y CORRECTIVO DE INFRAESTRUCTURA FÍSICA Y EQUIPOS DE LA CÁRCEL DISTRITAL DE VARONES Y ANEXO DE MUJERES ADMINISTRADA POR LA SDSCJ</t>
  </si>
  <si>
    <t>O232020200885250- Servicios de protección (guardas de seguridad)</t>
  </si>
  <si>
    <t>PRESTACIÓN DEL SERVICIO INTEGRAL DE VIGILANCIA Y SEGURIDAD EN LA MODALIDAD DE VIGILANCIA FIJA, MÓVIL CON Y SIN ARMAS Y DE VIGILANCIA CON MEDIOS TECNOLÓGICOS PARA BIENES MUEBLES E INMUEBLES DE PROPIEDAD Y/O A CARGO DE LA SECRETARÍA DISTRITAL DE SEGURIDAD, CONVIVENCIA Y JUSTICIA.</t>
  </si>
  <si>
    <t>F /O21202020080585250- Servicios de protección (guardas de seguridad)</t>
  </si>
  <si>
    <t>N/A</t>
  </si>
  <si>
    <t xml:space="preserve">O21202020080585250_Servicios de protección (guardas de seguridad) </t>
  </si>
  <si>
    <t>No Aplica</t>
  </si>
  <si>
    <t xml:space="preserve">O232020200664112_Servicios de transporte terrestre local regular de pasajeros </t>
  </si>
  <si>
    <t>PRESTAR EL SERVICIO DE TRANSPORTE TERRESTRE ESPECIAL QUE GARANTICE EL CUMPLIMIENTO DE LOS OBJETIVOS MISIONALES DE LA SECRETARÍA DISTRITAL DE SEGURIDAD, CONVIVENCIA Y JUSTICIA</t>
  </si>
  <si>
    <t>F / O21202020060464114_Servicios de transporte terrestre especial local de pasajeros</t>
  </si>
  <si>
    <t>O21202020060464114_Servicios de transporte terrestre especial local de pasajeros</t>
  </si>
  <si>
    <t>296  (8214)</t>
  </si>
  <si>
    <t>Desarrollar 1 Plan(es) de modernización del C4 para mejorar la respuesta distrital a la demanda de servicios de los ciudadanos</t>
  </si>
  <si>
    <t>Realizar el 100 Porciento del mantenimiento de los componentes tecnológicos existentes</t>
  </si>
  <si>
    <t>MANTENIMIENTO PREVENTIVO Y/O CORRECTIVO, CON BOLSA DE REPUESTOS A TODA LA INFRAESTRUCTURA DEL SISTEMA RADIO TRONCALIZADO AL SERVICIO DE LA POLICÍA METROPOLITANA DE BOGOTÁ Y AGENCIAS DEL DISTRITO</t>
  </si>
  <si>
    <t>O232020200885961_Servicios de organización y asistencia de convenciones</t>
  </si>
  <si>
    <t>CONTRATAR LA PRESTACIÓN DE SERVICIOS DE UN OPERADOR LOGÍSTICO, PARA LA PLANEACIÓN, ORGANIZACIÓN, ADMINISTRACIÓN, PRODUCCIÓN, EJECUCIÓN Y DEMÁS ACCIONES LOGÍSTICAS NECESARIAS PARA LA REALIZACIÓN DE LOS EVENTOS Y ACTIVIDADES PROGRAMADAS POR LAS DEPENDENCIAS DE LA SECRETARÍA DISTRITAL DE SEGURIDAD, CONVIVENCIA Y JUSTICIA.</t>
  </si>
  <si>
    <t>F /O21202020080585961 Servicios de organización y asistencia de convenciones</t>
  </si>
  <si>
    <t>O21202020080585961 Servicios de organización y asistencia de convenciones</t>
  </si>
  <si>
    <t>Desarrollar el 100 Porciento de la estrategia para mejorar la oportunidad y calidad de la información institucional en los sistemas de información y servicios ciudadanos digitales de la Entidad.</t>
  </si>
  <si>
    <t xml:space="preserve">O232020200883159_Otros servicios de alojamiento y suministro de infraestructura en tecnología de la información (TI) </t>
  </si>
  <si>
    <t>PRESTAR LOS SERVICIOS DE MESA DE SERVICIOS DE TI PARA LA SECRETARÍA DISTRITAL DE SEGURIDAD, CONVIVENCIA Y JUSTICIA</t>
  </si>
  <si>
    <t xml:space="preserve">O232020200991122_Servicios de la administración pública relacionados con la salud </t>
  </si>
  <si>
    <t>PRESTACIÓN DEL SERVICIO DE SALUD A LAS PERSONAS PRIVADAS DE LA LIBERTAD A CARGO DE LA SECRETARÍA DISTRITAL DE SEGURIDAD, CONVIVENCIA Y JUSTICIA, REALIZANDO LOS EXÁMENES MÉDICOS Y ODONTOLÓGICOS DE INGRESO Y EGRESO, ASÍ COMO EFECTUAR LA ATENCIÓN, VALORACIÓN PRIMARIA, EVALUANDO EL ESTADO FÍSICO, PATOLOGÍAS O DEMÁS AFECCIONES QUE SE PRESENTEN Y REMISIONES SEGÚN CORRESPONDA A LAS ENTIDADES PRESTADORAS DE SALUD</t>
  </si>
  <si>
    <t xml:space="preserve">290 (8177) </t>
  </si>
  <si>
    <t>2 - Desarrollar 1 Plan(es) para organismos de seguridad y justicia</t>
  </si>
  <si>
    <t xml:space="preserve">O232020200772112_Servicios de alquiler o arrendamiento con o sin opción de compra, relativos a bienes inmuebles no residenciales (diferentes a vivienda), propios o arrendados </t>
  </si>
  <si>
    <t xml:space="preserve">1-100-I015_ VA-5% CONTRATOS DE OBRA PÚBLICA </t>
  </si>
  <si>
    <t>ARRENDAMIENTO INMUEBLE CAPACITACIÓN AUXILIARES DE POLICIA AUXPO (SEDE A)</t>
  </si>
  <si>
    <t>2-2025-25121</t>
  </si>
  <si>
    <t xml:space="preserve"> 1-2025-34358 </t>
  </si>
  <si>
    <t>ARRENDAMIENTO DE UN PREDIO PARA EL USO COMO PARQUEADERO DE LOS VEHICULOS DE LA SECCIONAL DE INTELIGENCIA POLICIAL-SIPOL-MEBOG</t>
  </si>
  <si>
    <t>ARRENDAMIENTO DEL INMUEBLE PARA EL FUNCIONAMIENTO DEL PUESTO DE CONTROL EN LA LOCALIDAD DE SUMAPAZ</t>
  </si>
  <si>
    <t>312 (8229)</t>
  </si>
  <si>
    <t>Implementar 1 Modelo(s) integrado para la gestión de la convivencia y seguridad en los territorios</t>
  </si>
  <si>
    <t>2 - Construir e implementar 1 Modelo(s) de atención territorial a conflictividades relacionadas con el uso y disfrute del espacio públic</t>
  </si>
  <si>
    <t>O232020200991119_Otros servicios de la administración pública n.c.p.</t>
  </si>
  <si>
    <t xml:space="preserve">1-100-F001_ VA-RECURSOS DISTRITO </t>
  </si>
  <si>
    <t>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</si>
  <si>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2-2025-25118</t>
  </si>
  <si>
    <t xml:space="preserve">	 1-2025-41124   </t>
  </si>
  <si>
    <t>F / O21202020080484150 Servicios de transmisión de datos</t>
  </si>
  <si>
    <t>O21202020080484150 Servicios de transmisión de datos</t>
  </si>
  <si>
    <t>PRESTAR LOS SERVICIOS DE CONECTIVIDAD PARA EL SISTEMA DE VIDEOVIGILANCIA DE BOGOTÁ, LA RED WAN, INTERNET MÓVIL Y VOZ, EMPLEADOS POR LOS ORGANISMOS DE SEGURIDAD CON JURISDICCIÓN EN EL DISTRITO CAPITAL Y LA SECRETARÍA DISTRITAL DE SEGURIDAD, CONVIVENCIA Y JUSTICIA. COMPONENTE 1: CONECTIVIDAD PARA EL SISTEMA DE VIDEOVIGILANCIA E INTEGRACIÓN DE PRIVADOS DE BOGOTÁ; COMPONENTE 2: RED WAN; COMPONENTE 3: SERVICIO INTEGRADO DE CANALES DE COMUNICACIÓN, INTERNET, TELEFONIA IP, ENVIO MASIVO DE MENSAJES CORTOS DE TEXTO – SMS Y MAILING</t>
  </si>
  <si>
    <t xml:space="preserve">2-2025-43455 </t>
  </si>
  <si>
    <t>2-2025-41987</t>
  </si>
  <si>
    <t>4 - Desarrollar 1 Plan(es) de mejoramiento de los organismos de seguridad con énfasis en tecnología, para proyectar su crecimiento y avanzar hacia la anticipación y la respuesta oportuna y efectiva a incidentes complejos o de alto impacto</t>
  </si>
  <si>
    <t>O232020200884290_Otros servicios de telecomunicaciones vía Internet</t>
  </si>
  <si>
    <t>CONTRATAR LA INTERVENTORÍA ADMINISTRATIVA, FINANCIERA, TÉCNICA, AMBIENTAL, CONTABLE Y JURÍDICA PARA EL CONTRATO CUYO OBJETO ES: PRESTAR LOS SERVICIOS DE CONECTIVIDAD PARA EL SISTEMA DE VIDEOVIGILANCIA DE BOGOTÁ, LA RED WAN, INTERNET MÓVIL Y VOZ, EMPLEADOS POR LOS ORGANISMOS DE SEGURIDAD CON JURISDICCIÓN EN EL DISTRITO CAPITAL Y LA SECRETARÍA DISTRITAL DE SEGURIDAD, CONVIVENCIA Y JUSTICIA, COMPONENTE 1. CONECTIVIDAD PARA EL SISTEMA DE VIDEOVIGILANCIA E INTEGRACIÓN DE PRIVADOS DE BOGOTÁ</t>
  </si>
  <si>
    <t>Objeto de la VF Aprobada</t>
  </si>
  <si>
    <t>Estado del Avance en la Contratación
a 30/07/2025</t>
  </si>
  <si>
    <t>Estado del Avance en la Contratación
a 21/08/2025</t>
  </si>
  <si>
    <t>Estado del Avance en la Contratación
a 24/09/2026</t>
  </si>
  <si>
    <t>Estado del Avance en la Contratación
a 30/09/2025</t>
  </si>
  <si>
    <t>No. de Contrato</t>
  </si>
  <si>
    <t>Enlace SECOPII</t>
  </si>
  <si>
    <t>Valor 2025</t>
  </si>
  <si>
    <t>Valor 2026</t>
  </si>
  <si>
    <t>Valor 2027</t>
  </si>
  <si>
    <t>TOTAL DEL CONTRATO</t>
  </si>
  <si>
    <t>GIROS</t>
  </si>
  <si>
    <t xml:space="preserve">
El proceso se encuentra suspendido como consecuencia de la tutela interpuesta. Nos encontramos a la espera de la decisión del juez en primera instancia. </t>
  </si>
  <si>
    <t>El Juez conceptúo improcedente la tutela interpuesta por uno de los oferentes participantes en el proceso de contratación, por ende, se proyecto expedir Resolución de Adjudicación del proceso el día 22 de agosto de 2025, por ende, el contrato se suscribiría con vigencias futuras 2026 y 2027.</t>
  </si>
  <si>
    <t>Proceso adjudicado mediante resolución 319 de fecha del 11 de septiembre de 2025j, se creó tercero y se proyecta suscribir minuta de contrato el 24 de septiembre de 2025. Resolución “Por medio de la cual se adjudica el proceso de Selección Abreviada por Subasta Inversa Electrónica No. SCJSASIE-7-2025”</t>
  </si>
  <si>
    <t>Adjudicado. Contrato No. 2092 - 2025 (01 de octubre de 2025). Finaliza el 31 de diciembre de 2027.</t>
  </si>
  <si>
    <t>2092-2025</t>
  </si>
  <si>
    <t>ttps://community.secop.gov.co/Public/Tendering/OpportunityDetail/Index?noticeUID=CO1.NTC.8288232&amp;isFromPublicArea=True&amp;isModal=true&amp;asPopupView=true</t>
  </si>
  <si>
    <t xml:space="preserve">Para el nuevo proyecto se encuentra en trámite la solicitud de carta de intención que debe presentar la MEBOG para proceder con las suscripción del nuevo convenio, el cual es necesario para el proceso del contrato de interventoria del mantenimiento de los helicopteros que hacen parte del programa Halcón.
</t>
  </si>
  <si>
    <t xml:space="preserve">La Secretaria de Seguridad Convivencia y Justicia, remitió la carta de intención a la PONAL el día 12 de agosto de 2025 mediante radicado No. 2-2025-51271, en reunión de comité técnico del Convenio SCJ-1583-2024 (actual), la PONAL solicitó a la SCJ las acciones realizadas para dar cumplmiento a dicho Convenio. A corte de 21-08-2025 se encuentra en proceso de firma por parte del Sr. Secretario el comunicado proyectado. </t>
  </si>
  <si>
    <t>Se está a la espera de una comunicación por parte de CIAC y MEBOG para formalizar el desistimiento de estas vigencias futuras.</t>
  </si>
  <si>
    <t>Para el nuevo proyecto se encuentra en trámite la solicitud de carta de intención que debe presentar la MEBOG para proceder con la suscripción del nuevo convenio, el cual es necesario para el proceso del contrato de mantenimiento de los helicopteros que hacen parte del programa Halcón. Se encuentra en estructuración el requerimiento y ficha técnica del proceso por parte de la Dirección de bienes y la Dirección Técnica, en conjunto con el personal de MEBOG. El contrato iniciara el mes de septiembre 2025.</t>
  </si>
  <si>
    <t>La Secretaria de Seguridad Convivencia y Justicia, remitió la carta de intención a la PONAL el día 12 de agosto de 2025 mediante radicado No. 2-2025-51271, en reunión de comité técnico del Convenio SCJ-1583-2024 (actual), la PONAL solicitó a la SCJ las acciones realizadas para dar cumplmiento a dicho Convenio. A corte de 21-08-2025 se encuentra en proceso de firma por parte del Sr. Secretario el comunicado proyectado.</t>
  </si>
  <si>
    <t>Se están adelantando mesas de trabajo con la Corporación de Industria Aeronáutica Colombiana (CIAC), la MEBOG y la SDSCJ para la realización de un convenio tripartita mediante el cual se efectúe el mantenimiento.</t>
  </si>
  <si>
    <t>Se encuentra en estructuración el requerimiento y ficha técnica por parte de la Dirección de bienes y la Dirección Técnica para realizar la interventoría. Se realizan mesas de trabajo para estructurar éste requerimiento.</t>
  </si>
  <si>
    <t>Proceso en estructuración por la Dirección Tecnica.</t>
  </si>
  <si>
    <t>El proceso de contratación se presentará el viernes 26 de septiembre a comité de contratación para continaur el proceso con la Dirección de Operaciones.</t>
  </si>
  <si>
    <t xml:space="preserve">Se espera adjudicar al finalizar el mes de octubre. </t>
  </si>
  <si>
    <t>El requerimiento se encuentra en trámite en la Dirección Técnica, se completo el estudio de mercado. La Dirección de Bienes que se encuentra realizando ajustes a la ficha técnica y el requerimiento por observaciones presentadas. El contrato iniciara el mes de octubre 2025.</t>
  </si>
  <si>
    <t>Proceso en estructuración por la Dirección tecnica, actualmente se esta adelantando la expedición de CDP de vigencia y CDPS extrapresupuestales para radicación de proceso, el cual se espera radicar a la Dirección de Operaciones el lunes 25 de agosto.</t>
  </si>
  <si>
    <t xml:space="preserve">Se realizó el proceso contractual que generó la orden de compra 149030 (contrato 1955 de 2025) con el proveedor ORGANIZACIÓN TERPEL S.A. ya se encuntra en ejecución a partir del 23 de julio y hasta el 22 de julio de 2026. </t>
  </si>
  <si>
    <t>Adjudicado. Contrato No. 1955-2025 (23 de julio 2025)</t>
  </si>
  <si>
    <t>1955-2025</t>
  </si>
  <si>
    <t>https://operaciones.colombiacompra.gov.co/tienda-virtual-del-estado-colombiano/ordenes-compra/149030</t>
  </si>
  <si>
    <t>EL proceso fue sometido a comité de contratación el 23 de julio de 2025 y se espera la adjudicación del proponente favorecido con la licitación para el 30 de septiembre de 2025</t>
  </si>
  <si>
    <t>Proceso aprobado en Comité de Contratación del miercoles 13 de Agosto, en espera de adjudicación el día 30 de septiembre de 2025. Proceso en curso en plataforma electrónica SECOP.</t>
  </si>
  <si>
    <t>Debido a modificaciones en el cronograma de la Direccion de operaciones, la adjudicación se reprogramó para el 15 octubre</t>
  </si>
  <si>
    <t>El proceso licitatorio será presentado en comité de contratación el viernes 1 de agosto y se espera su adjudicación para la primera semana de octubre de 2025</t>
  </si>
  <si>
    <t>El proceso se radicará en la Dirección técnica el viernes 1 de agosto y se espera sea adjudicado por subasta inversa el 15 de octubre de 2025</t>
  </si>
  <si>
    <t xml:space="preserve">La Dirección de Bienes se encuentra realizando ajustes a las observaciones presentadas por la Dirección Técnica (observaciones del 15-08-2025). Respuesta a remitir a más tardar el día 26-08-2025. </t>
  </si>
  <si>
    <t>Se encuentra en revisión de la Direccion de Operaciones, esta programado adjudicar en noviembre</t>
  </si>
  <si>
    <t>¿Qué se ha realizado? Se dio apertura al proceso.
¿En que se encuentra? Se realiza cierre de propuestas el 31 de julio.
¿Qué hace falta? Se inicia proceso de evaluación. Se proyecta adjudicar el 20 de agosto.</t>
  </si>
  <si>
    <t>Proceso previsto adjudicar el 28 de agosto</t>
  </si>
  <si>
    <t>Adjudicado en proceso de legalización</t>
  </si>
  <si>
    <t>Contrato 2114-2025 del 30 de septiembre de 2025</t>
  </si>
  <si>
    <t>2114-2025</t>
  </si>
  <si>
    <t>https://community.secop.gov.co/Public/Tendering/OpportunityDetail/Index?noticeUID=CO1.NTC.8485278&amp;isFromPublicArea=True&amp;isModal=true&amp;asPopupView=true</t>
  </si>
  <si>
    <t>¿Qué se ha realizado? Se realizó la apertura de la licitación, se adelanto evaluación preliminar
¿En que se encuentra? Se encuentra en periodo de observaciones, toda vez que las propuestas no fueron publicadas oportunamente.
¿Qué hace falta? Lo anterior retraso, la adjudicacion del porceso en julio y se reprograma la adjudicacion el 8 de agosto</t>
  </si>
  <si>
    <t>Proceso adjudicado el 14/08/2025, se encuantra en etapa de perfeccionamiento esta pendiente la entrega del NIT por parte del consorcio adjudicario.</t>
  </si>
  <si>
    <t>Adjudicado Contrato 2063-2025 el 29 de agosto de 2025</t>
  </si>
  <si>
    <t>2063-2025</t>
  </si>
  <si>
    <t>https://community.secop.gov.co/Public/Tendering/OpportunityDetail/Index?noticeUID=CO1.NTC.8345740&amp;isFromPublicArea=True&amp;isModal=true&amp;asPopupView=true</t>
  </si>
  <si>
    <t>¿Qué se ha realizado? Se ha avanzado en la gestión precontractual de estudios previos.
¿En que se encuentra? La primera semana se proyecta publicar los prepliegos de la licitación.
¿Qué hace falta? Se proyecta adjudicar en septiembre</t>
  </si>
  <si>
    <t>En la actualidad se adelanta el proceso de selección bajo la modalidad de subasta inversa, se tiene previsto adjudicar el 23/09/2025</t>
  </si>
  <si>
    <t>El 24/09/2025 se firmó la Resolución de adjudicación del proceso, esta en proceso de numeración de minuta y legalización.</t>
  </si>
  <si>
    <t>Adjudicado. Contrato No. 2100-2025 (10 de octubre de 2025). Finaliza el 31 de marzo de 2027.</t>
  </si>
  <si>
    <t>2100-2025</t>
  </si>
  <si>
    <t>https://community.secop.gov.co/Public/Tendering/OpportunityDetail/Index?noticeUID=CO1.NTC.8679226&amp;isFromPublicArea=True&amp;isModal=true&amp;asPopupView=true</t>
  </si>
  <si>
    <t xml:space="preserve">¿Qué se ha realizado? Se realizó el proceso contractual y adjudicación
¿En que se encuentra? En ejecución desde el 20 de junio hasta el 06 de enero de 2028.
¿Qué hace falta? N/A
</t>
  </si>
  <si>
    <t>Adjudicado. Contrato No. 1807-2025 (20 de junio de 2025)</t>
  </si>
  <si>
    <t>1807-2025</t>
  </si>
  <si>
    <t>https://community.secop.gov.co/Public/Tendering/OpportunityDetail/Index?noticeUID=CO1.NTC.8166578&amp;isFromPublicArea=True&amp;isModal=true&amp;asPopupView=true</t>
  </si>
  <si>
    <t xml:space="preserve">
El contrato se encuentra suscrito y en ejecución desde el 5 de junio bajo el contrato SCJ-1627-2025 con Motorola Solutions con un plazo de 32 meses</t>
  </si>
  <si>
    <t>Adjudicado. Contrato No. 1627-2025 (05 de junio de 2025)</t>
  </si>
  <si>
    <t>1627-2025</t>
  </si>
  <si>
    <t>https://community.secop.gov.co/Public/Tendering/OpportunityDetail/Index?noticeUID=CO1.NTC.8223857&amp;isFromPublicArea=True&amp;isModal=true&amp;asPopupView=true</t>
  </si>
  <si>
    <t>¿Qué se ha realizado? Se ha realizado lasrespuestas a las observaciones de prepliego
¿En que se encuentra? El 29 de julio se publicó los pliegos definitivos
¿Qué hace falta? El 01 de agosto se realizará la audiencia de riesgos y observaciones y respuestas al pre pliego definitivo. Se proyecta adjudicar en agosto</t>
  </si>
  <si>
    <t>Proceso que se radicará ante la dirección juridica el 25/08/2025 y su adjudicación se prevee para 15/10/2025</t>
  </si>
  <si>
    <t>Debido a modificaciones en la modalidad de contratación y en el loteo del proceso, la radicacion del proceso de operador logistico se pretende realizar el 30/09/2025 y su adjudicación se petende realizar en noviembre</t>
  </si>
  <si>
    <t>El contrato 2005-2025 fue firmado por las partes el día 30 de julio de 2025. Actualmente se encuentra en proceso de legalización, es decir aprobación de la póliza y expedición de los registros presupuestales correspondientes, requisitos necesarios para dar inicio a su ejecución contractual.</t>
  </si>
  <si>
    <t>Adjudicado. Contrato No. 2005-2025</t>
  </si>
  <si>
    <t>Adjudicado. Contrato No. 2005-2025 (01 de agosto)</t>
  </si>
  <si>
    <t>2005-2025</t>
  </si>
  <si>
    <t>https://community.secop.gov.co/Public/Tendering/OpportunityDetail/Index?noticeUID=CO1.NTC.8232707&amp;isFromPublicArea=True&amp;isModal=true&amp;asPopupView=true</t>
  </si>
  <si>
    <t xml:space="preserve">El contrato inició el 2 de julio de 2025 y actualmente se encuentra en ejecución en la plataforma SECOP II. Se están realizando las gestiones adicionales requeridas, ya que para el inicio en el sistema SISICO se exige como soporte la presentación de los RPS por el valor total del contrato. Esta situación ya fue consultada con la Dirección Financiera y de Tecnología.
Contrato suscrito SCJ - 1759 - 2025 (proceso en SECOP II SCJ-CD-1349-2025), contrato con fecha de inicio del 02 de julio de 2025 hasta el 31 de diciembre de 2026, por ende, el contrato quedo solamente la vigencia futura 2026 y no 2027.  </t>
  </si>
  <si>
    <t xml:space="preserve">El contrato inició el 2 de julio de 2025 y actualmente se encuentra en ejecución en la plataforma SECOP II. Se están realizando las gestiones adicionales requeridas, ya que para el inicio en el sistema SISICO se exige como soporte la presentación de los RPS por el valor total del contrato. Esta situación está en revisión de la Dirección de Tecnologías de la información. 
Contrato suscrito SCJ - 1759 - 2025 (proceso en SECOP II SCJ-CD-1349-2025), contrato con fecha de inicio del 02 de julio de 2025 hasta el 31 de diciembre de 2026, no obstante, teniendo en cuenta que desde el mes de agosto la SUBRED dejó de estar intervenida por la Superintendencia de Salud, se procederá adelantar los trámites pertinentes para que de ser posible se incluya la vigencia futura 2027 dentro del contrato actual aludido. </t>
  </si>
  <si>
    <t>Contrato en ejecución hasta 31 de diciembre de 2026, en proyectó de reunión para articular con la SUBRED y poder modificar el contrato para llevar la vigencia hasta 31 de diciembre de 2027.</t>
  </si>
  <si>
    <t>Contrato 1759 de 2025 en ejecución hasta 31 de diciembre de 2026, en proyectó de reunión para articular con la SUBRED y poder modificar el contrato para llevar la vigencia hasta 31 de diciembre de 2027.</t>
  </si>
  <si>
    <t>1759-2025</t>
  </si>
  <si>
    <t>https://community.secop.gov.co/Public/Tendering/OpportunityDetail/Index?noticeUID=CO1.NTC.8266241&amp;isFromPublicArea=True&amp;isModal=true&amp;asPopupView=true</t>
  </si>
  <si>
    <t>14. ARRENDAMIENTOS</t>
  </si>
  <si>
    <t>El proceso se encuentra en trámite en la Dirección Técnica, se espera su adjudicación el 27 de agosto 2025.</t>
  </si>
  <si>
    <t>El proceso se encuentra en trámite en la Dirección Técnica, se espera su adjudicación el 31 de agosto de 2025. (Se actualizan fechas de adjudicación)</t>
  </si>
  <si>
    <t>Contrato Adjudicado SCJ-2071-2025 (05 de septiembre)</t>
  </si>
  <si>
    <t>SCJ-2071-2025</t>
  </si>
  <si>
    <t xml:space="preserve">	
https://community.secop.gov.co/Public/Tendering/OpportunityDetail/Index?noticeUID=CO1.NTC.8717333&amp;isFromPublicArea=True&amp;isModal=true&amp;asPopupView=true</t>
  </si>
  <si>
    <t>Se esta solicitando el desistimiento de las vigencias futuras del contrato correspondiente al puesto de control ubicado en la localidad de Sumapaz</t>
  </si>
  <si>
    <t xml:space="preserve">Pendiente de respuesta por parte de la OAP, respecto a la aceptación del desisitimiento de la vigencia futura. </t>
  </si>
  <si>
    <t>Se solicitó derogatoria de la vigencia futura meDiante memorandoINTERNO n°3-2025-31824,  toda vez que el predio se encuentra en negociaciones con la secretaria d eambiente y el acueducto de Bogotá para entrega en comodato a la SCJ.</t>
  </si>
  <si>
    <t>Se radicó requerimiento para la nueva contratación con vigencias futuras. El proceso se encuentra en trámite en la Dirección Técnica. Se espera su adjudicación el 31 de agosto 2025.</t>
  </si>
  <si>
    <t>El proceso se encuentra en trámite en la Dirección Técnica, se espera su adjudicación el 27 de agosto de 2025. (Se actualizan fechas de adjudicación)</t>
  </si>
  <si>
    <t>Contrato Adjudicado SCJ-2057-2025 (29 de agosto)</t>
  </si>
  <si>
    <t>SCJ-2057-2025</t>
  </si>
  <si>
    <t>https://community.secop.gov.co/Public/Tendering/OpportunityDetail/Index?noticeUID=CO1.NTC.8683947&amp;isFromPublicArea=True&amp;isModal=true&amp;asPopupView=true</t>
  </si>
  <si>
    <t>15. GESTORES DE CONVIVENCIA (70)</t>
  </si>
  <si>
    <t>Se ha ido adelantando el proceso de contratación y el avance es el siguiente:
De los 20 procesos contractuales de los gestores que pasaron a vigencias futuras, 12 han sido radicados, 5 se les han hecho observaciones para poder radicar y 3 cupos se encuentran en espera de las hojas de vida, dado que las personas postuladas desistieron del proceso.</t>
  </si>
  <si>
    <t>Se radicaron 12 CPS. Los 58 CPS restantes se radicarán para su trámite en el mes de Septiembre</t>
  </si>
  <si>
    <r>
      <rPr>
        <b/>
        <sz val="8"/>
        <color theme="1"/>
        <rFont val="Calibri"/>
        <family val="2"/>
      </rPr>
      <t>20</t>
    </r>
    <r>
      <rPr>
        <sz val="8"/>
        <color theme="1"/>
        <rFont val="Calibri"/>
        <family val="2"/>
      </rPr>
      <t xml:space="preserve"> procesos asociados a la dirección de previencion de los cuales se encuentran 9 firmados y perfecionados, 10 radicados en la direccion juridica y contractual y 1 pendiente por radicar se estima que para 29 de septiembre se radique
</t>
    </r>
    <r>
      <rPr>
        <b/>
        <sz val="8"/>
        <color theme="1"/>
        <rFont val="Calibri"/>
        <family val="2"/>
      </rPr>
      <t xml:space="preserve">50 </t>
    </r>
    <r>
      <rPr>
        <sz val="8"/>
        <color theme="1"/>
        <rFont val="Calibri"/>
        <family val="2"/>
      </rPr>
      <t xml:space="preserve">procesos asociados a la Subsecretaria con inicio de ejecucion en diciembre, por lo que la dirección juridica no los recibe aun </t>
    </r>
  </si>
  <si>
    <t>2055/2064/2062/2068/2065/2059/2072/2074/2081</t>
  </si>
  <si>
    <t>https://community.secop.gov.co/Public/App/AnnualPurchasingPlanEditPublic/View?id=644283//https://community.secop.gov.co/Public/App/AnnualPurchasingPlanEditPublic/View?id=644283//https://community.secop.gov.co/Public/App/AnnualPurchasingPlanEditPublic/View?id=644283//https://community.secop.gov.co/Public/App/AnnualPurchasingPlanEditPublic/View?id=644283//https://community.secop.gov.co/Public/App/AnnualPurchasingPlanEditPublic/View?id=644283//https://community.secop.gov.co/Public/App/AnnualPurchasingPlanEditPublic/View?id=644283//https://community.secop.gov.co/Public/App/AnnualPurchasingPlanEditPublic/View?id=644283//https://community.secop.gov.co/Public/App/AnnualPurchasingPlanEditPublic/View?id=644283</t>
  </si>
  <si>
    <t xml:space="preserve">
Se encuentra en elaboración de los requerimientos técnicos para adelantar el proceso de contratación</t>
  </si>
  <si>
    <t>Proceso en estructuración por parte de la Dirección de Bienes</t>
  </si>
  <si>
    <t>Se reliazó la solicitud  de lo CDP y se radicó en la dirección técnica para iniciar procesos de selección</t>
  </si>
  <si>
    <t>En proceso de contratación, se estima suscribir en el mes de Noviembre.</t>
  </si>
  <si>
    <t>La vigencia futura fue aprobada por el CONFIS el 25 de julio de 2025. Actualmente, el proceso contractual se encuentra  en estructuración de los documentos precontractuales.
Se solicitó la oferta por parte de la ETB afin de adelantar la contratacion directa respectiva del servicio de conectividad. Se espera avanzar con la radicación formal del estudio previo en el mes de septiembre.
El proceso contractual se encuentra en trámite y se espera sea adjudicado por subasta inversa el mes de octubre de 2025, la Dirección de Bienes es la encargada de supervisar el Componente 2 - RED WAN.</t>
  </si>
  <si>
    <t xml:space="preserve">Se espera la entrega de la cotización de los servicios por parte de ETB. </t>
  </si>
  <si>
    <t>Se reliazó la solicitud  de lo CDP y se  realizó la radicación a la dirección técnica el 22/09/2025 bajo radicado 3-2025-37707, para surtir el proceso de contratación. El cual tendrá fecha de inicio el 01/10/2025</t>
  </si>
  <si>
    <t>Se suscribió contrato No. 2110-2025 (30 de septiembre de 2025)</t>
  </si>
  <si>
    <t>2110-2025</t>
  </si>
  <si>
    <t>https://community.secop.gov.co/Public/Tendering/OpportunityDetail/Index?noticeUID=CO1.NTC.8865074&amp;isFromPublicArea=True&amp;isModal=true&amp;asPopupView=true</t>
  </si>
  <si>
    <t>BIEN O SERVICIO</t>
  </si>
  <si>
    <t>PROYECTO</t>
  </si>
  <si>
    <t>Item</t>
  </si>
  <si>
    <t>Aprop. 2025</t>
  </si>
  <si>
    <t>VF 2026</t>
  </si>
  <si>
    <t>VF 2027</t>
  </si>
  <si>
    <t xml:space="preserve"> TOTAL  vf</t>
  </si>
  <si>
    <t xml:space="preserve">Valor Contrato </t>
  </si>
  <si>
    <t>Giros 2025</t>
  </si>
  <si>
    <t>%COMPROMISOS DE VF AUTORIZADAS</t>
  </si>
  <si>
    <t>ESTADO A 30 DE SEPTIEMBRE 2025</t>
  </si>
  <si>
    <t>IMPACTO</t>
  </si>
  <si>
    <t>0305-Modelo de gestión carcelario</t>
  </si>
  <si>
    <t>Autorizado</t>
  </si>
  <si>
    <t>Suministro alimentario para 1.124 personas privativas de la libertad de la Cárcel Distrital.
Garantiza la estabilidad en la provisión de servicios esenciales como alimentación en la Cárcel Distrital de Varones y Anexo de Mujeres, debido a que este es vital y es crucial darles continuidad a estos.</t>
  </si>
  <si>
    <t>Ejecutado</t>
  </si>
  <si>
    <t>0290-Capacidades operativas</t>
  </si>
  <si>
    <t>0314-Fortalecimiento Institucional</t>
  </si>
  <si>
    <t>Garantizar el suministro de combustible al parque automotor entregado a través de contratos de Comodato a diferentes organismos de seguridad: Policía Metropolitana de Bogotá – MEBOG, el Ejército Nacional - Brigada XIII, Migración Colombia y Acceso a la justicia.</t>
  </si>
  <si>
    <t>Mantenimiento preventivo y correctivo de la cárcel distrital de varones y anexo de mujeres, con el fin de garantizar las condiciones idóneas de funcionamiento del recinto carcelario.</t>
  </si>
  <si>
    <t>0314-Fortalecimiento Institucional / Funcionamiento</t>
  </si>
  <si>
    <t>Garantizar la custodia y vigilancia de los bienes institucionales de la Secretaria Distrital de Seguridad, Convivencia y Justicia.</t>
  </si>
  <si>
    <t>Se garantiza el servicio integral de transporte para el traslado del personal de planta en condición de discapacidad. Transporte a profesionales de atención del Programa Distrital de Justicia Juvenil Restaurativa, a las diferentes localidades. Acompañamiento a actividades de prevención y control organizadas desde los Consejos Locales de Seguridad en zonas de difícil acceso.</t>
  </si>
  <si>
    <t>0296 – C4</t>
  </si>
  <si>
    <t xml:space="preserve">Mantenimiento preventivo y correctivo del sistema de comunicaciones de radio troncalizado que utilizan las agencias de seguridad en Bogotá, como la Policía Metropolitana y otras entidades del Distrito. El sistema debe mantenerse operativo las 24 horas del día, los 7 días de la semana.  El sistema es fundamental para las comunicaciones bidireccionales entre las autoridades y el personal en el terreno, permitiendo una respuesta rápida a los incidentes reportados a través de la línea única de emergencia 123. </t>
  </si>
  <si>
    <t>Garantiza la disponibilidad, integridad y seguridad de los sistemas tecnológicos que sustentan la misión de la entidad. 
Permite contar con un soporte técnico eficiente, gestión centralizada de accesos, mantenimiento preventivo de equipos, escalamiento de incidentes y control de inventario, asegurando así la estabilidad operativa y la mejora continua de los servicios institucionales</t>
  </si>
  <si>
    <t>Cárcel Distrital (1.124 personas) y CER (244 personas).
Incluye la valoración médica y odontológica de ingreso y egreso, así como la atención primaria y la remisión a entidades prestadoras de salud según sea necesario.</t>
  </si>
  <si>
    <t>PARQUEADERO: Garantiza un esspacio adecuado para el estacionamiento de 78 vehículos y 115 motocicletas asignados al servicio de la Seccional de Inteligencia Policial (SIPOL) de la Policía Metropolitana de Bogotá (MEBOG).​ Ubicación a 500 metros de la sede actual.​
AUXPO: En el marco de la incorporación de 15.000 Auxiliares de Policía, de los cuales 4.000 estarán destinados a Bogotá, permite contar con un espacio adecuado que permita ofrecer una formación de calidad.​
​
​</t>
  </si>
  <si>
    <t>0312- Fuerza policial</t>
  </si>
  <si>
    <t>0290-Capacidades operativas / 0296 – C4 /Funcionamiento</t>
  </si>
  <si>
    <t>compa</t>
  </si>
  <si>
    <t>Garantiza los servicios de conectividad para el sistema de videovigilancia de Bogotá, la red WAN, internet móvil y voz, empleados por los organismos de seguridad con jurisdicción en el distrito capital y la secretaría distrital de seguridad, convivencia y justicia. Componente 1: conectividad para el sistema de videovigilancia e integración de privados de Bogotá; componente 2: red WAN; componente 3: servicio integrado de canales de comunicación, internet, telefonía IP, envió masivo de mensajes cortos de texto – sms y mailing</t>
  </si>
  <si>
    <t>% Eje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</si>
</sst>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 #,##0.0_-;\-* #,##0.0_-;_-* &quot;-&quot;??_-;_-@_-"/>
    <numFmt numFmtId="166" formatCode="&quot;$&quot;#,##0,,"/>
    <numFmt numFmtId="167" formatCode="_-* #,##0_-;\-* #,##0_-;_-* &quot;-&quot;??_-;_-@_-"/>
    <numFmt numFmtId="168" formatCode="#,##0,,"/>
  </numFmts>
  <fonts count="31" x14ac:knownFonts="1">
    <font>
      <sz val="11"/>
      <color theme="1"/>
      <name val="Calibri"/>
      <family val="2"/>
    </font>
    <font>
      <sz val="11"/>
      <color theme="1"/>
      <name val="Calibri"/>
      <family val="2"/>
    </font>
    <font>
      <b/>
      <sz val="11"/>
      <color theme="1"/>
      <name val="Calibri"/>
      <family val="2"/>
    </font>
    <font>
      <sz val="11"/>
      <color rgb="FF000000"/>
      <name val="Calibri"/>
      <family val="2"/>
    </font>
    <font>
      <u/>
      <sz val="11"/>
      <color theme="10"/>
      <name val="Calibri"/>
      <family val="2"/>
    </font>
    <font>
      <sz val="12"/>
      <color rgb="FF000000"/>
      <name val="Aptos"/>
      <family val="2"/>
    </font>
    <font>
      <sz val="8"/>
      <name val="Calibri"/>
      <family val="2"/>
    </font>
    <font>
      <b/>
      <sz val="12"/>
      <color rgb="FF000000"/>
      <name val="Calibri"/>
      <family val="2"/>
    </font>
    <font>
      <b/>
      <sz val="11"/>
      <color rgb="FF000000"/>
      <name val="Calibri"/>
      <family val="2"/>
    </font>
    <font>
      <b/>
      <sz val="14"/>
      <color rgb="FF000000"/>
      <name val="Calibri"/>
      <family val="2"/>
    </font>
    <font>
      <b/>
      <sz val="11"/>
      <color rgb="FFFF0000"/>
      <name val="Calibri"/>
      <family val="2"/>
    </font>
    <font>
      <sz val="10"/>
      <color theme="1"/>
      <name val="Calibri"/>
      <family val="2"/>
    </font>
    <font>
      <b/>
      <sz val="11"/>
      <color theme="0"/>
      <name val="Calibri"/>
      <family val="2"/>
    </font>
    <font>
      <b/>
      <sz val="10"/>
      <color theme="0"/>
      <name val="Calibri"/>
      <family val="2"/>
    </font>
    <font>
      <b/>
      <sz val="8"/>
      <color theme="1"/>
      <name val="Calibri"/>
      <family val="2"/>
    </font>
    <font>
      <sz val="10"/>
      <color theme="0"/>
      <name val="Calibri"/>
      <family val="2"/>
    </font>
    <font>
      <sz val="8"/>
      <color theme="1"/>
      <name val="Calibri"/>
      <family val="2"/>
    </font>
    <font>
      <sz val="8"/>
      <color theme="1"/>
      <name val="Aptos Display"/>
      <family val="2"/>
      <scheme val="major"/>
    </font>
    <font>
      <b/>
      <sz val="8"/>
      <color theme="1"/>
      <name val="Aptos Display"/>
      <family val="2"/>
      <scheme val="major"/>
    </font>
    <font>
      <b/>
      <sz val="12"/>
      <color rgb="FF000000"/>
      <name val="Aptos Narrow"/>
      <family val="2"/>
    </font>
    <font>
      <sz val="10"/>
      <color rgb="FF000000"/>
      <name val="Aptos Narrow"/>
      <family val="2"/>
    </font>
    <font>
      <b/>
      <sz val="12"/>
      <color rgb="FF4472C4"/>
      <name val="Aptos Narrow"/>
      <family val="2"/>
    </font>
    <font>
      <sz val="12"/>
      <color rgb="FF4472C4"/>
      <name val="Aptos Narrow"/>
      <family val="2"/>
    </font>
    <font>
      <sz val="18"/>
      <color theme="0"/>
      <name val="Arial"/>
      <family val="2"/>
    </font>
    <font>
      <b/>
      <sz val="12"/>
      <color theme="0"/>
      <name val="Aptos Narrow"/>
      <family val="2"/>
    </font>
    <font>
      <b/>
      <sz val="18"/>
      <color theme="0"/>
      <name val="Arial"/>
      <family val="2"/>
    </font>
    <font>
      <b/>
      <sz val="12"/>
      <name val="Aptos Narrow"/>
      <family val="2"/>
    </font>
    <font>
      <sz val="12"/>
      <name val="Aptos Narrow"/>
      <family val="2"/>
    </font>
    <font>
      <b/>
      <sz val="18"/>
      <color rgb="FF000000"/>
      <name val="Aptos Narrow"/>
      <family val="2"/>
    </font>
    <font>
      <b/>
      <sz val="16"/>
      <color theme="0"/>
      <name val="Aptos Narrow"/>
      <family val="2"/>
    </font>
    <font>
      <b/>
      <sz val="10"/>
      <color rgb="FFFF0000"/>
      <name val="Calibri"/>
      <family val="2"/>
    </font>
  </fonts>
  <fills count="13">
    <fill>
      <patternFill patternType="none"/>
    </fill>
    <fill>
      <patternFill patternType="gray125"/>
    </fill>
    <fill>
      <patternFill patternType="solid">
        <fgColor theme="8" tint="0.79998168889431442"/>
        <bgColor indexed="64"/>
      </patternFill>
    </fill>
    <fill>
      <patternFill patternType="solid">
        <fgColor rgb="FFDAF2D0"/>
        <bgColor rgb="FF000000"/>
      </patternFill>
    </fill>
    <fill>
      <patternFill patternType="solid">
        <fgColor theme="5" tint="0.79998168889431442"/>
        <bgColor indexed="64"/>
      </patternFill>
    </fill>
    <fill>
      <patternFill patternType="solid">
        <fgColor theme="5"/>
        <bgColor theme="5"/>
      </patternFill>
    </fill>
    <fill>
      <patternFill patternType="solid">
        <fgColor theme="5" tint="0.79998168889431442"/>
        <bgColor theme="5" tint="0.79998168889431442"/>
      </patternFill>
    </fill>
    <fill>
      <patternFill patternType="solid">
        <fgColor theme="7"/>
        <bgColor indexed="64"/>
      </patternFill>
    </fill>
    <fill>
      <patternFill patternType="solid">
        <fgColor rgb="FFC00000"/>
        <bgColor indexed="64"/>
      </patternFill>
    </fill>
    <fill>
      <patternFill patternType="solid">
        <fgColor rgb="FFF7C8DA"/>
        <bgColor indexed="64"/>
      </patternFill>
    </fill>
    <fill>
      <patternFill patternType="solid">
        <fgColor theme="8"/>
        <bgColor theme="8"/>
      </patternFill>
    </fill>
    <fill>
      <patternFill patternType="solid">
        <fgColor theme="0"/>
        <bgColor indexed="64"/>
      </patternFill>
    </fill>
    <fill>
      <patternFill patternType="solid">
        <fgColor theme="8"/>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000000"/>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top/>
      <bottom style="thin">
        <color rgb="FF000000"/>
      </bottom>
      <diagonal/>
    </border>
    <border>
      <left style="thin">
        <color rgb="FF000000"/>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theme="8" tint="0.39997558519241921"/>
      </left>
      <right/>
      <top style="thick">
        <color rgb="FFAC194F"/>
      </top>
      <bottom/>
      <diagonal/>
    </border>
    <border>
      <left style="thin">
        <color rgb="FFFF99CC"/>
      </left>
      <right style="thin">
        <color rgb="FFFF99CC"/>
      </right>
      <top style="thin">
        <color rgb="FFFF99CC"/>
      </top>
      <bottom style="thin">
        <color rgb="FFFF99CC"/>
      </bottom>
      <diagonal/>
    </border>
    <border>
      <left style="thin">
        <color rgb="FFFF99CC"/>
      </left>
      <right style="thin">
        <color rgb="FFFF99CC"/>
      </right>
      <top/>
      <bottom style="thin">
        <color rgb="FFFF99CC"/>
      </bottom>
      <diagonal/>
    </border>
    <border>
      <left style="thin">
        <color rgb="FFFF99CC"/>
      </left>
      <right style="thin">
        <color rgb="FFFF99CC"/>
      </right>
      <top style="thin">
        <color rgb="FFFF99CC"/>
      </top>
      <bottom/>
      <diagonal/>
    </border>
    <border>
      <left/>
      <right style="thin">
        <color rgb="FFFF99CC"/>
      </right>
      <top style="thin">
        <color rgb="FFFF99CC"/>
      </top>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FF99CC"/>
      </left>
      <right/>
      <top style="thin">
        <color rgb="FFFF99CC"/>
      </top>
      <bottom style="thin">
        <color rgb="FFFF99CC"/>
      </bottom>
      <diagonal/>
    </border>
    <border>
      <left/>
      <right style="thin">
        <color rgb="FFFF99CC"/>
      </right>
      <top style="thin">
        <color rgb="FFFF99CC"/>
      </top>
      <bottom style="thin">
        <color rgb="FFFF99CC"/>
      </bottom>
      <diagonal/>
    </border>
    <border>
      <left/>
      <right/>
      <top style="thin">
        <color rgb="FFFF99CC"/>
      </top>
      <bottom/>
      <diagonal/>
    </border>
    <border>
      <left/>
      <right style="thin">
        <color rgb="FFFF99CC"/>
      </right>
      <top/>
      <bottom/>
      <diagonal/>
    </border>
  </borders>
  <cellStyleXfs count="6">
    <xf numFmtId="0" fontId="0" fillId="0" borderId="0"/>
    <xf numFmtId="43" fontId="1" fillId="0" borderId="0" applyFont="0" applyFill="0" applyBorder="0" applyAlignment="0" applyProtection="0"/>
    <xf numFmtId="164" fontId="1"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9" fontId="1" fillId="0" borderId="0" applyFont="0" applyFill="0" applyBorder="0" applyAlignment="0" applyProtection="0"/>
  </cellStyleXfs>
  <cellXfs count="222">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pplyProtection="1">
      <alignment horizontal="center" vertical="center"/>
      <protection locked="0"/>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0" xfId="0" applyAlignment="1" applyProtection="1">
      <alignment horizontal="center" vertical="center"/>
      <protection locked="0"/>
    </xf>
    <xf numFmtId="0" fontId="0" fillId="0" borderId="2" xfId="0" applyBorder="1" applyAlignment="1">
      <alignment horizontal="center" vertical="center" wrapText="1"/>
    </xf>
    <xf numFmtId="0" fontId="3" fillId="0" borderId="3" xfId="0" applyFont="1" applyBorder="1" applyAlignment="1">
      <alignment vertical="center"/>
    </xf>
    <xf numFmtId="0" fontId="0" fillId="0" borderId="1" xfId="0" applyBorder="1" applyAlignment="1">
      <alignment horizontal="left" vertical="center"/>
    </xf>
    <xf numFmtId="0" fontId="3" fillId="0" borderId="1" xfId="0" applyFont="1" applyBorder="1" applyAlignment="1">
      <alignment vertical="center"/>
    </xf>
    <xf numFmtId="0" fontId="0" fillId="0" borderId="7" xfId="0" applyBorder="1" applyAlignment="1">
      <alignment horizontal="center" vertical="center" wrapText="1"/>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0" xfId="0" applyAlignment="1">
      <alignment vertical="center"/>
    </xf>
    <xf numFmtId="3" fontId="0" fillId="0" borderId="0" xfId="0" applyNumberFormat="1"/>
    <xf numFmtId="0" fontId="0" fillId="0" borderId="8" xfId="0" applyBorder="1" applyAlignment="1" applyProtection="1">
      <alignment horizontal="center" vertical="center" wrapText="1"/>
      <protection locked="0"/>
    </xf>
    <xf numFmtId="3" fontId="0" fillId="0" borderId="17" xfId="2" applyNumberFormat="1" applyFont="1" applyBorder="1"/>
    <xf numFmtId="14" fontId="0" fillId="0" borderId="1" xfId="2" applyNumberFormat="1" applyFont="1" applyBorder="1"/>
    <xf numFmtId="0" fontId="0" fillId="0" borderId="5" xfId="0" applyBorder="1" applyAlignment="1">
      <alignment horizontal="center" vertical="center"/>
    </xf>
    <xf numFmtId="0" fontId="0" fillId="0" borderId="6" xfId="0" applyBorder="1" applyAlignment="1">
      <alignment vertical="center"/>
    </xf>
    <xf numFmtId="0" fontId="0" fillId="0" borderId="6" xfId="0" applyBorder="1" applyAlignment="1">
      <alignment horizontal="center" vertical="center"/>
    </xf>
    <xf numFmtId="0" fontId="0" fillId="0" borderId="6" xfId="0" applyBorder="1" applyAlignment="1" applyProtection="1">
      <alignment horizontal="center" vertical="center"/>
      <protection locked="0"/>
    </xf>
    <xf numFmtId="3" fontId="0" fillId="0" borderId="3" xfId="2" applyNumberFormat="1" applyFont="1" applyBorder="1"/>
    <xf numFmtId="3" fontId="0" fillId="0" borderId="20" xfId="0" applyNumberForma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0" fillId="0" borderId="19" xfId="0" applyBorder="1" applyAlignment="1">
      <alignment horizontal="center" vertical="center"/>
    </xf>
    <xf numFmtId="0" fontId="0" fillId="0" borderId="8" xfId="0" applyBorder="1" applyAlignment="1">
      <alignment vertical="center"/>
    </xf>
    <xf numFmtId="0" fontId="3" fillId="0" borderId="21" xfId="0" applyFont="1" applyBorder="1" applyAlignment="1">
      <alignment vertical="center"/>
    </xf>
    <xf numFmtId="0" fontId="3" fillId="0" borderId="8" xfId="0" applyFont="1" applyBorder="1" applyAlignment="1">
      <alignment vertical="center"/>
    </xf>
    <xf numFmtId="0" fontId="3" fillId="0" borderId="6" xfId="0" applyFont="1" applyBorder="1" applyAlignment="1">
      <alignment vertical="center"/>
    </xf>
    <xf numFmtId="0" fontId="0" fillId="0" borderId="19" xfId="0" applyBorder="1" applyAlignment="1">
      <alignment vertical="center"/>
    </xf>
    <xf numFmtId="0" fontId="3" fillId="0" borderId="19" xfId="0" applyFont="1" applyBorder="1" applyAlignment="1">
      <alignment vertical="center"/>
    </xf>
    <xf numFmtId="0" fontId="3" fillId="0" borderId="19" xfId="0" applyFont="1" applyBorder="1" applyAlignment="1">
      <alignment horizontal="left" vertical="center"/>
    </xf>
    <xf numFmtId="3" fontId="0" fillId="0" borderId="6" xfId="0" applyNumberFormat="1" applyBorder="1"/>
    <xf numFmtId="14" fontId="0" fillId="0" borderId="6" xfId="0" applyNumberFormat="1" applyBorder="1"/>
    <xf numFmtId="0" fontId="3" fillId="0" borderId="0" xfId="0" applyFont="1"/>
    <xf numFmtId="0" fontId="7" fillId="3" borderId="23" xfId="0" applyFont="1" applyFill="1" applyBorder="1"/>
    <xf numFmtId="0" fontId="7" fillId="3" borderId="24" xfId="0" applyFont="1" applyFill="1" applyBorder="1"/>
    <xf numFmtId="0" fontId="8" fillId="0" borderId="25" xfId="0" applyFont="1" applyBorder="1"/>
    <xf numFmtId="0" fontId="8" fillId="0" borderId="26" xfId="0" applyFont="1" applyBorder="1"/>
    <xf numFmtId="3" fontId="8" fillId="0" borderId="26" xfId="0" applyNumberFormat="1" applyFont="1" applyBorder="1"/>
    <xf numFmtId="0" fontId="3" fillId="0" borderId="25" xfId="0" applyFont="1" applyBorder="1"/>
    <xf numFmtId="0" fontId="3" fillId="0" borderId="26" xfId="0" applyFont="1" applyBorder="1"/>
    <xf numFmtId="3" fontId="3" fillId="0" borderId="26" xfId="0" applyNumberFormat="1" applyFont="1" applyBorder="1"/>
    <xf numFmtId="0" fontId="9" fillId="0" borderId="20" xfId="0" applyFont="1" applyBorder="1"/>
    <xf numFmtId="3" fontId="9" fillId="0" borderId="27" xfId="0" applyNumberFormat="1" applyFont="1" applyBorder="1"/>
    <xf numFmtId="3" fontId="9" fillId="0" borderId="28" xfId="0" applyNumberFormat="1" applyFont="1" applyBorder="1"/>
    <xf numFmtId="3" fontId="3" fillId="0" borderId="0" xfId="0" applyNumberFormat="1" applyFont="1"/>
    <xf numFmtId="11" fontId="3" fillId="0" borderId="0" xfId="0" applyNumberFormat="1" applyFont="1"/>
    <xf numFmtId="9" fontId="3" fillId="0" borderId="0" xfId="0" applyNumberFormat="1" applyFont="1"/>
    <xf numFmtId="3" fontId="10" fillId="0" borderId="26" xfId="0" applyNumberFormat="1" applyFont="1" applyBorder="1"/>
    <xf numFmtId="0" fontId="0" fillId="0" borderId="0" xfId="0" pivotButton="1"/>
    <xf numFmtId="0" fontId="0" fillId="0" borderId="0" xfId="0" applyAlignment="1">
      <alignment horizontal="left"/>
    </xf>
    <xf numFmtId="166" fontId="0" fillId="0" borderId="0" xfId="0" applyNumberFormat="1"/>
    <xf numFmtId="0" fontId="0" fillId="4" borderId="7" xfId="0" applyFill="1" applyBorder="1" applyAlignment="1">
      <alignment horizontal="center" vertical="center" wrapText="1"/>
    </xf>
    <xf numFmtId="3" fontId="3" fillId="0" borderId="19" xfId="2" applyNumberFormat="1" applyFont="1" applyBorder="1" applyAlignment="1">
      <alignment horizontal="right" vertical="center" wrapText="1"/>
    </xf>
    <xf numFmtId="3" fontId="0" fillId="0" borderId="19" xfId="2" applyNumberFormat="1" applyFont="1" applyBorder="1" applyAlignment="1">
      <alignment horizontal="right" vertical="center" wrapText="1"/>
    </xf>
    <xf numFmtId="3" fontId="3" fillId="0" borderId="19" xfId="2" applyNumberFormat="1" applyFont="1" applyBorder="1" applyAlignment="1">
      <alignment horizontal="right"/>
    </xf>
    <xf numFmtId="3" fontId="0" fillId="0" borderId="19" xfId="2" applyNumberFormat="1" applyFont="1" applyBorder="1" applyAlignment="1">
      <alignment horizontal="right"/>
    </xf>
    <xf numFmtId="3" fontId="0" fillId="0" borderId="19" xfId="2" applyNumberFormat="1" applyFont="1" applyFill="1" applyBorder="1" applyAlignment="1">
      <alignment horizontal="right" vertical="center" wrapText="1"/>
    </xf>
    <xf numFmtId="3" fontId="3" fillId="0" borderId="19" xfId="2" applyNumberFormat="1" applyFont="1" applyFill="1" applyBorder="1" applyAlignment="1">
      <alignment horizontal="right" vertical="center" wrapText="1"/>
    </xf>
    <xf numFmtId="3" fontId="0" fillId="0" borderId="19" xfId="2" applyNumberFormat="1" applyFont="1" applyFill="1" applyBorder="1" applyAlignment="1">
      <alignment horizontal="right"/>
    </xf>
    <xf numFmtId="3" fontId="3" fillId="0" borderId="19" xfId="2" applyNumberFormat="1" applyFont="1" applyFill="1" applyBorder="1" applyAlignment="1">
      <alignment horizontal="right"/>
    </xf>
    <xf numFmtId="3" fontId="0" fillId="0" borderId="22" xfId="2" applyNumberFormat="1" applyFont="1" applyFill="1" applyBorder="1" applyAlignment="1">
      <alignment horizontal="right" vertical="center" wrapText="1"/>
    </xf>
    <xf numFmtId="3" fontId="3" fillId="0" borderId="22" xfId="2" applyNumberFormat="1" applyFont="1" applyFill="1" applyBorder="1" applyAlignment="1">
      <alignment horizontal="right" vertical="center" wrapText="1"/>
    </xf>
    <xf numFmtId="3" fontId="0" fillId="0" borderId="22" xfId="2" applyNumberFormat="1" applyFont="1" applyFill="1" applyBorder="1" applyAlignment="1">
      <alignment horizontal="right"/>
    </xf>
    <xf numFmtId="3" fontId="3" fillId="0" borderId="22" xfId="2" applyNumberFormat="1" applyFont="1" applyFill="1" applyBorder="1" applyAlignment="1">
      <alignment horizontal="right"/>
    </xf>
    <xf numFmtId="3" fontId="3" fillId="0" borderId="19" xfId="0" applyNumberFormat="1" applyFont="1" applyBorder="1" applyAlignment="1">
      <alignment horizontal="right" vertical="center" wrapText="1"/>
    </xf>
    <xf numFmtId="3" fontId="3" fillId="0" borderId="19" xfId="0" applyNumberFormat="1" applyFont="1" applyBorder="1" applyAlignment="1">
      <alignment horizontal="right"/>
    </xf>
    <xf numFmtId="3" fontId="0" fillId="0" borderId="19" xfId="0" applyNumberFormat="1" applyBorder="1" applyAlignment="1">
      <alignment horizontal="right"/>
    </xf>
    <xf numFmtId="165" fontId="0" fillId="0" borderId="19" xfId="1" applyNumberFormat="1" applyFont="1" applyBorder="1" applyAlignment="1">
      <alignment horizontal="right"/>
    </xf>
    <xf numFmtId="3" fontId="0" fillId="0" borderId="22" xfId="0" applyNumberFormat="1" applyBorder="1" applyAlignment="1">
      <alignment horizontal="right"/>
    </xf>
    <xf numFmtId="3" fontId="3" fillId="0" borderId="22" xfId="0" applyNumberFormat="1" applyFont="1" applyBorder="1" applyAlignment="1">
      <alignment horizontal="right"/>
    </xf>
    <xf numFmtId="3" fontId="3" fillId="0" borderId="22" xfId="0" applyNumberFormat="1" applyFont="1" applyBorder="1" applyAlignment="1">
      <alignment horizontal="right" vertical="center" wrapText="1"/>
    </xf>
    <xf numFmtId="14" fontId="0" fillId="0" borderId="29" xfId="2" applyNumberFormat="1" applyFont="1" applyBorder="1"/>
    <xf numFmtId="14" fontId="0" fillId="0" borderId="8" xfId="2" applyNumberFormat="1" applyFont="1" applyBorder="1"/>
    <xf numFmtId="0" fontId="0" fillId="0" borderId="30" xfId="0" applyBorder="1" applyAlignment="1">
      <alignment horizontal="center" vertical="center" wrapText="1"/>
    </xf>
    <xf numFmtId="3" fontId="0" fillId="0" borderId="8" xfId="2" applyNumberFormat="1" applyFont="1" applyBorder="1"/>
    <xf numFmtId="0" fontId="11" fillId="0" borderId="0" xfId="0" applyFont="1" applyAlignment="1">
      <alignment horizontal="left"/>
    </xf>
    <xf numFmtId="0" fontId="11" fillId="0" borderId="0" xfId="0" applyFont="1" applyAlignment="1">
      <alignment horizontal="left" wrapText="1"/>
    </xf>
    <xf numFmtId="0" fontId="0" fillId="0" borderId="0" xfId="0" pivotButton="1" applyAlignment="1">
      <alignment wrapText="1"/>
    </xf>
    <xf numFmtId="0" fontId="0" fillId="0" borderId="0" xfId="0" applyAlignment="1">
      <alignment wrapText="1"/>
    </xf>
    <xf numFmtId="0" fontId="0" fillId="0" borderId="0" xfId="0" applyAlignment="1">
      <alignment horizontal="center" vertical="center" wrapText="1"/>
    </xf>
    <xf numFmtId="0" fontId="15" fillId="5" borderId="31" xfId="0" applyFont="1" applyFill="1" applyBorder="1" applyAlignment="1" applyProtection="1">
      <alignment horizontal="center" vertical="center"/>
      <protection hidden="1"/>
    </xf>
    <xf numFmtId="0" fontId="16" fillId="0" borderId="0" xfId="0" applyFont="1"/>
    <xf numFmtId="0" fontId="16" fillId="6" borderId="31" xfId="0" applyFont="1" applyFill="1" applyBorder="1" applyAlignment="1" applyProtection="1">
      <alignment horizontal="left" vertical="center" wrapText="1"/>
      <protection hidden="1"/>
    </xf>
    <xf numFmtId="0" fontId="16" fillId="0" borderId="31" xfId="0" applyFont="1" applyBorder="1" applyAlignment="1" applyProtection="1">
      <alignment horizontal="left" vertical="center" wrapText="1"/>
      <protection hidden="1"/>
    </xf>
    <xf numFmtId="0" fontId="16" fillId="0" borderId="0" xfId="0" applyFont="1" applyAlignment="1" applyProtection="1">
      <alignment horizontal="left" vertical="center"/>
      <protection hidden="1"/>
    </xf>
    <xf numFmtId="0" fontId="17" fillId="6" borderId="33" xfId="0" applyFont="1" applyFill="1" applyBorder="1" applyAlignment="1" applyProtection="1">
      <alignment horizontal="left" vertical="center" wrapText="1"/>
      <protection hidden="1"/>
    </xf>
    <xf numFmtId="0" fontId="17" fillId="6" borderId="22" xfId="0" applyFont="1" applyFill="1" applyBorder="1" applyAlignment="1" applyProtection="1">
      <alignment vertical="center"/>
      <protection locked="0"/>
    </xf>
    <xf numFmtId="0" fontId="16" fillId="6" borderId="32" xfId="0" applyFont="1" applyFill="1" applyBorder="1" applyAlignment="1">
      <alignment vertical="center" wrapText="1"/>
    </xf>
    <xf numFmtId="0" fontId="16" fillId="0" borderId="32" xfId="0" applyFont="1" applyBorder="1" applyAlignment="1">
      <alignment vertical="center" wrapText="1"/>
    </xf>
    <xf numFmtId="0" fontId="17" fillId="6" borderId="22" xfId="0" applyFont="1" applyFill="1" applyBorder="1" applyAlignment="1">
      <alignment vertical="center"/>
    </xf>
    <xf numFmtId="0" fontId="15" fillId="5" borderId="19" xfId="0" applyFont="1" applyFill="1" applyBorder="1" applyAlignment="1" applyProtection="1">
      <alignment horizontal="center" vertical="center" wrapText="1"/>
      <protection hidden="1"/>
    </xf>
    <xf numFmtId="0" fontId="16" fillId="6" borderId="19" xfId="0" applyFont="1" applyFill="1" applyBorder="1" applyAlignment="1" applyProtection="1">
      <alignment horizontal="left" vertical="center" wrapText="1"/>
      <protection hidden="1"/>
    </xf>
    <xf numFmtId="0" fontId="16" fillId="0" borderId="19" xfId="0" applyFont="1" applyBorder="1" applyAlignment="1" applyProtection="1">
      <alignment horizontal="left" vertical="center" wrapText="1"/>
      <protection hidden="1"/>
    </xf>
    <xf numFmtId="0" fontId="16" fillId="0" borderId="0" xfId="0" applyFont="1" applyAlignment="1" applyProtection="1">
      <alignment horizontal="left" vertical="center" wrapText="1"/>
      <protection hidden="1"/>
    </xf>
    <xf numFmtId="0" fontId="23" fillId="0" borderId="0" xfId="0" applyFont="1" applyAlignment="1">
      <alignment horizontal="center" vertical="center" wrapText="1"/>
    </xf>
    <xf numFmtId="0" fontId="24" fillId="0" borderId="0" xfId="0" applyFont="1" applyAlignment="1">
      <alignment horizontal="center" vertical="center" wrapText="1" readingOrder="1"/>
    </xf>
    <xf numFmtId="0" fontId="25" fillId="10" borderId="34" xfId="0" applyFont="1" applyFill="1" applyBorder="1" applyAlignment="1">
      <alignment horizontal="center" vertical="center" wrapText="1"/>
    </xf>
    <xf numFmtId="0" fontId="20" fillId="0" borderId="35" xfId="0" applyFont="1" applyBorder="1" applyAlignment="1">
      <alignment horizontal="center" vertical="center" wrapText="1" readingOrder="1"/>
    </xf>
    <xf numFmtId="0" fontId="20" fillId="9" borderId="35" xfId="0" applyFont="1" applyFill="1" applyBorder="1" applyAlignment="1">
      <alignment horizontal="center" vertical="center" wrapText="1" readingOrder="1"/>
    </xf>
    <xf numFmtId="0" fontId="26" fillId="0" borderId="35" xfId="0" applyFont="1" applyBorder="1" applyAlignment="1">
      <alignment horizontal="center" vertical="center" wrapText="1" readingOrder="1"/>
    </xf>
    <xf numFmtId="0" fontId="21" fillId="0" borderId="35" xfId="0" applyFont="1" applyBorder="1" applyAlignment="1">
      <alignment horizontal="center" vertical="center" wrapText="1" readingOrder="1"/>
    </xf>
    <xf numFmtId="0" fontId="21" fillId="9" borderId="35" xfId="0" applyFont="1" applyFill="1" applyBorder="1" applyAlignment="1">
      <alignment horizontal="center" vertical="center" wrapText="1" readingOrder="1"/>
    </xf>
    <xf numFmtId="168" fontId="27" fillId="0" borderId="35" xfId="0" applyNumberFormat="1" applyFont="1" applyBorder="1" applyAlignment="1">
      <alignment horizontal="center" vertical="center" wrapText="1" readingOrder="1"/>
    </xf>
    <xf numFmtId="168" fontId="26" fillId="0" borderId="35" xfId="0" applyNumberFormat="1" applyFont="1" applyBorder="1" applyAlignment="1">
      <alignment horizontal="center" vertical="center" wrapText="1" readingOrder="1"/>
    </xf>
    <xf numFmtId="168" fontId="22" fillId="9" borderId="35" xfId="0" applyNumberFormat="1" applyFont="1" applyFill="1" applyBorder="1" applyAlignment="1">
      <alignment horizontal="center" vertical="center" wrapText="1" readingOrder="1"/>
    </xf>
    <xf numFmtId="168" fontId="21" fillId="9" borderId="35" xfId="0" applyNumberFormat="1" applyFont="1" applyFill="1" applyBorder="1" applyAlignment="1">
      <alignment horizontal="center" vertical="center" wrapText="1" readingOrder="1"/>
    </xf>
    <xf numFmtId="168" fontId="22" fillId="0" borderId="35" xfId="0" applyNumberFormat="1" applyFont="1" applyBorder="1" applyAlignment="1">
      <alignment horizontal="center" vertical="center" wrapText="1" readingOrder="1"/>
    </xf>
    <xf numFmtId="168" fontId="21" fillId="0" borderId="35" xfId="0" applyNumberFormat="1" applyFont="1" applyBorder="1" applyAlignment="1">
      <alignment horizontal="center" vertical="center" wrapText="1" readingOrder="1"/>
    </xf>
    <xf numFmtId="168" fontId="22" fillId="11" borderId="35" xfId="0" applyNumberFormat="1" applyFont="1" applyFill="1" applyBorder="1" applyAlignment="1">
      <alignment horizontal="center" vertical="center" wrapText="1" readingOrder="1"/>
    </xf>
    <xf numFmtId="168" fontId="21" fillId="11" borderId="35" xfId="0" applyNumberFormat="1" applyFont="1" applyFill="1" applyBorder="1" applyAlignment="1">
      <alignment horizontal="center" vertical="center" wrapText="1" readingOrder="1"/>
    </xf>
    <xf numFmtId="0" fontId="24" fillId="10" borderId="34" xfId="0" applyFont="1" applyFill="1" applyBorder="1" applyAlignment="1">
      <alignment horizontal="center" vertical="center" wrapText="1" readingOrder="1"/>
    </xf>
    <xf numFmtId="0" fontId="29" fillId="12" borderId="35" xfId="0" applyFont="1" applyFill="1" applyBorder="1" applyAlignment="1">
      <alignment horizontal="center" vertical="center" wrapText="1" readingOrder="1"/>
    </xf>
    <xf numFmtId="168" fontId="29" fillId="12" borderId="35" xfId="0" applyNumberFormat="1" applyFont="1" applyFill="1" applyBorder="1" applyAlignment="1">
      <alignment horizontal="center" vertical="center" wrapText="1" readingOrder="1"/>
    </xf>
    <xf numFmtId="0" fontId="0" fillId="0" borderId="3" xfId="0" applyBorder="1" applyAlignment="1">
      <alignment horizontal="center" vertical="center"/>
    </xf>
    <xf numFmtId="3" fontId="0" fillId="0" borderId="1" xfId="2" applyNumberFormat="1" applyFont="1" applyBorder="1"/>
    <xf numFmtId="0" fontId="3" fillId="0" borderId="39" xfId="0" applyFont="1" applyBorder="1" applyAlignment="1">
      <alignment vertical="center"/>
    </xf>
    <xf numFmtId="3" fontId="0" fillId="0" borderId="40" xfId="2" applyNumberFormat="1" applyFont="1" applyBorder="1" applyAlignment="1">
      <alignment horizontal="right"/>
    </xf>
    <xf numFmtId="3" fontId="3" fillId="0" borderId="22" xfId="2" applyNumberFormat="1" applyFont="1" applyBorder="1" applyAlignment="1">
      <alignment horizontal="right"/>
    </xf>
    <xf numFmtId="3" fontId="3" fillId="0" borderId="22" xfId="2" applyNumberFormat="1" applyFont="1" applyBorder="1" applyAlignment="1">
      <alignment horizontal="right" vertical="center" wrapText="1"/>
    </xf>
    <xf numFmtId="3" fontId="0" fillId="0" borderId="6" xfId="2" applyNumberFormat="1" applyFont="1" applyBorder="1"/>
    <xf numFmtId="3" fontId="0" fillId="0" borderId="5" xfId="2" applyNumberFormat="1" applyFont="1" applyBorder="1"/>
    <xf numFmtId="14" fontId="0" fillId="0" borderId="6" xfId="2" applyNumberFormat="1" applyFont="1" applyBorder="1"/>
    <xf numFmtId="3" fontId="0" fillId="0" borderId="22" xfId="2" applyNumberFormat="1" applyFont="1" applyBorder="1" applyAlignment="1">
      <alignment horizontal="right"/>
    </xf>
    <xf numFmtId="0" fontId="15" fillId="0" borderId="32" xfId="0" applyFont="1" applyBorder="1" applyAlignment="1">
      <alignment horizontal="center" vertical="center" wrapText="1"/>
    </xf>
    <xf numFmtId="0" fontId="16" fillId="6" borderId="32" xfId="0" applyFont="1" applyFill="1" applyBorder="1" applyAlignment="1" applyProtection="1">
      <alignment vertical="center" wrapText="1"/>
      <protection locked="0"/>
    </xf>
    <xf numFmtId="0" fontId="16" fillId="0" borderId="32" xfId="0" applyFont="1" applyBorder="1" applyAlignment="1" applyProtection="1">
      <alignment vertical="center" wrapText="1"/>
      <protection locked="0"/>
    </xf>
    <xf numFmtId="9" fontId="0" fillId="0" borderId="0" xfId="5" applyFont="1"/>
    <xf numFmtId="0" fontId="0" fillId="0" borderId="8" xfId="0" applyBorder="1" applyAlignment="1">
      <alignment horizontal="center" vertical="center"/>
    </xf>
    <xf numFmtId="0" fontId="0" fillId="0" borderId="1" xfId="0" applyBorder="1"/>
    <xf numFmtId="0" fontId="0" fillId="0" borderId="8" xfId="0" applyBorder="1" applyAlignment="1">
      <alignment horizontal="center"/>
    </xf>
    <xf numFmtId="0" fontId="0" fillId="0" borderId="18" xfId="0" applyBorder="1" applyAlignment="1">
      <alignment horizontal="center"/>
    </xf>
    <xf numFmtId="0" fontId="0" fillId="0" borderId="19" xfId="0" applyBorder="1"/>
    <xf numFmtId="0" fontId="0" fillId="0" borderId="19" xfId="0" applyBorder="1" applyAlignment="1">
      <alignment horizontal="center"/>
    </xf>
    <xf numFmtId="0" fontId="0" fillId="0" borderId="19" xfId="0" applyBorder="1" applyAlignment="1">
      <alignment horizontal="left" vertical="center"/>
    </xf>
    <xf numFmtId="0" fontId="5" fillId="0" borderId="19" xfId="0" applyFont="1" applyBorder="1" applyAlignment="1">
      <alignment horizontal="center" vertical="center"/>
    </xf>
    <xf numFmtId="0" fontId="3" fillId="0" borderId="19" xfId="0" applyFont="1" applyBorder="1"/>
    <xf numFmtId="0" fontId="3" fillId="0" borderId="19" xfId="0" applyFont="1" applyBorder="1" applyAlignment="1">
      <alignment horizontal="center"/>
    </xf>
    <xf numFmtId="0" fontId="0" fillId="0" borderId="19"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3" fontId="0" fillId="0" borderId="40" xfId="2" applyNumberFormat="1" applyFont="1" applyFill="1" applyBorder="1" applyAlignment="1">
      <alignment horizontal="right"/>
    </xf>
    <xf numFmtId="0" fontId="15" fillId="8" borderId="0" xfId="0" applyFont="1" applyFill="1" applyAlignment="1" applyProtection="1">
      <alignment horizontal="center" vertical="center" wrapText="1"/>
      <protection locked="0"/>
    </xf>
    <xf numFmtId="0" fontId="16" fillId="0" borderId="0" xfId="0" applyFont="1" applyProtection="1">
      <protection locked="0"/>
    </xf>
    <xf numFmtId="0" fontId="15" fillId="8" borderId="8" xfId="0" applyFont="1" applyFill="1" applyBorder="1" applyAlignment="1" applyProtection="1">
      <alignment horizontal="center" vertical="center" wrapText="1"/>
      <protection locked="0"/>
    </xf>
    <xf numFmtId="0" fontId="15" fillId="8" borderId="1" xfId="0" applyFont="1" applyFill="1" applyBorder="1" applyAlignment="1" applyProtection="1">
      <alignment horizontal="center" vertical="center" wrapText="1"/>
      <protection locked="0"/>
    </xf>
    <xf numFmtId="0" fontId="13" fillId="8" borderId="1" xfId="0" applyFont="1" applyFill="1" applyBorder="1" applyAlignment="1" applyProtection="1">
      <alignment horizontal="center" vertical="center" wrapText="1"/>
      <protection locked="0"/>
    </xf>
    <xf numFmtId="0" fontId="16" fillId="0" borderId="8" xfId="0" applyFont="1" applyBorder="1" applyAlignment="1" applyProtection="1">
      <alignment horizontal="center" vertical="center"/>
      <protection locked="0"/>
    </xf>
    <xf numFmtId="0" fontId="16" fillId="0" borderId="1" xfId="0" applyFont="1" applyBorder="1" applyAlignment="1" applyProtection="1">
      <alignment vertical="center"/>
      <protection locked="0"/>
    </xf>
    <xf numFmtId="167" fontId="16" fillId="0" borderId="1" xfId="0" applyNumberFormat="1" applyFont="1" applyBorder="1" applyAlignment="1" applyProtection="1">
      <alignment horizontal="right" vertical="center"/>
      <protection locked="0"/>
    </xf>
    <xf numFmtId="167" fontId="14" fillId="0" borderId="1" xfId="0" applyNumberFormat="1" applyFont="1" applyBorder="1" applyAlignment="1" applyProtection="1">
      <alignment horizontal="right" vertical="center"/>
      <protection locked="0"/>
    </xf>
    <xf numFmtId="0" fontId="4" fillId="0" borderId="1" xfId="4" applyBorder="1" applyAlignment="1" applyProtection="1">
      <alignment vertical="center"/>
      <protection locked="0"/>
    </xf>
    <xf numFmtId="0" fontId="4" fillId="0" borderId="1" xfId="3" applyBorder="1" applyAlignment="1" applyProtection="1">
      <alignment vertical="center"/>
      <protection locked="0"/>
    </xf>
    <xf numFmtId="0" fontId="17" fillId="0" borderId="6" xfId="0" applyFont="1" applyBorder="1" applyAlignment="1" applyProtection="1">
      <alignment horizontal="center" vertical="center"/>
      <protection locked="0"/>
    </xf>
    <xf numFmtId="0" fontId="17" fillId="0" borderId="6" xfId="0" applyFont="1" applyBorder="1" applyAlignment="1" applyProtection="1">
      <alignment vertical="center"/>
      <protection locked="0"/>
    </xf>
    <xf numFmtId="167" fontId="17" fillId="0" borderId="6" xfId="0" applyNumberFormat="1" applyFont="1" applyBorder="1" applyAlignment="1" applyProtection="1">
      <alignment horizontal="right" vertical="center"/>
      <protection locked="0"/>
    </xf>
    <xf numFmtId="167" fontId="18" fillId="0" borderId="6" xfId="0" applyNumberFormat="1" applyFont="1" applyBorder="1" applyAlignment="1" applyProtection="1">
      <alignment horizontal="right" vertical="center"/>
      <protection locked="0"/>
    </xf>
    <xf numFmtId="0" fontId="16" fillId="0" borderId="0" xfId="0" applyFont="1" applyAlignment="1" applyProtection="1">
      <alignment horizontal="center" vertical="center"/>
      <protection locked="0"/>
    </xf>
    <xf numFmtId="0" fontId="16" fillId="0" borderId="0" xfId="0" applyFont="1" applyAlignment="1" applyProtection="1">
      <alignment vertical="center"/>
      <protection locked="0"/>
    </xf>
    <xf numFmtId="167" fontId="16" fillId="0" borderId="0" xfId="0" applyNumberFormat="1" applyFont="1" applyProtection="1">
      <protection locked="0"/>
    </xf>
    <xf numFmtId="0" fontId="14" fillId="0" borderId="0" xfId="0" applyFont="1" applyProtection="1">
      <protection locked="0"/>
    </xf>
    <xf numFmtId="9" fontId="16" fillId="0" borderId="0" xfId="5" applyFont="1" applyProtection="1">
      <protection locked="0"/>
    </xf>
    <xf numFmtId="0" fontId="30" fillId="0" borderId="0" xfId="0" applyFont="1" applyAlignment="1" applyProtection="1">
      <alignment horizontal="center" vertical="center"/>
      <protection locked="0"/>
    </xf>
    <xf numFmtId="0" fontId="16" fillId="0" borderId="8" xfId="0" applyFont="1" applyBorder="1" applyAlignment="1" applyProtection="1">
      <alignment horizontal="center" vertical="center" wrapText="1"/>
      <protection locked="0"/>
    </xf>
    <xf numFmtId="0" fontId="16" fillId="0" borderId="8" xfId="0" applyFont="1" applyBorder="1" applyAlignment="1" applyProtection="1">
      <alignment horizontal="left" vertical="center" wrapText="1"/>
      <protection locked="0"/>
    </xf>
    <xf numFmtId="0" fontId="16" fillId="0" borderId="8" xfId="0" applyFont="1" applyBorder="1" applyAlignment="1" applyProtection="1">
      <alignment horizontal="left" vertical="center"/>
      <protection locked="0"/>
    </xf>
    <xf numFmtId="0" fontId="16" fillId="4" borderId="8" xfId="0" applyFont="1" applyFill="1" applyBorder="1" applyAlignment="1" applyProtection="1">
      <alignment horizontal="left" vertical="center" wrapText="1"/>
      <protection locked="0"/>
    </xf>
    <xf numFmtId="0" fontId="15" fillId="0" borderId="0" xfId="0" applyFont="1" applyAlignment="1">
      <alignment horizontal="center" vertical="center" wrapText="1"/>
    </xf>
    <xf numFmtId="168" fontId="0" fillId="0" borderId="0" xfId="0" applyNumberFormat="1" applyAlignment="1">
      <alignment horizontal="center" vertical="center"/>
    </xf>
    <xf numFmtId="9" fontId="29" fillId="12" borderId="35" xfId="5" applyFont="1" applyFill="1" applyBorder="1" applyAlignment="1">
      <alignment horizontal="center" vertical="center" wrapText="1" readingOrder="1"/>
    </xf>
    <xf numFmtId="3" fontId="1" fillId="0" borderId="32" xfId="2" applyNumberFormat="1" applyFont="1" applyFill="1" applyBorder="1" applyAlignment="1">
      <alignment horizontal="right"/>
    </xf>
    <xf numFmtId="3" fontId="1" fillId="0" borderId="32" xfId="2" applyNumberFormat="1" applyFont="1" applyBorder="1" applyAlignment="1">
      <alignment horizontal="right"/>
    </xf>
    <xf numFmtId="3" fontId="1" fillId="0" borderId="22" xfId="2" applyNumberFormat="1" applyFont="1" applyFill="1" applyBorder="1" applyAlignment="1">
      <alignment horizontal="right"/>
    </xf>
    <xf numFmtId="3" fontId="1" fillId="0" borderId="22" xfId="2" applyNumberFormat="1" applyFont="1" applyBorder="1" applyAlignment="1">
      <alignment horizontal="right"/>
    </xf>
    <xf numFmtId="0" fontId="12" fillId="7" borderId="0" xfId="0" applyFont="1" applyFill="1" applyAlignment="1">
      <alignment horizontal="center" vertical="center"/>
    </xf>
    <xf numFmtId="3" fontId="2" fillId="2" borderId="14" xfId="0" applyNumberFormat="1" applyFont="1" applyFill="1" applyBorder="1" applyAlignment="1">
      <alignment horizontal="center" vertical="center"/>
    </xf>
    <xf numFmtId="3" fontId="2" fillId="2" borderId="15" xfId="0" applyNumberFormat="1" applyFont="1" applyFill="1" applyBorder="1" applyAlignment="1">
      <alignment horizontal="center" vertical="center"/>
    </xf>
    <xf numFmtId="3" fontId="2" fillId="2" borderId="16" xfId="0" applyNumberFormat="1" applyFont="1" applyFill="1" applyBorder="1" applyAlignment="1">
      <alignment horizontal="center" vertical="center"/>
    </xf>
    <xf numFmtId="4" fontId="2" fillId="2" borderId="14" xfId="0" applyNumberFormat="1" applyFont="1" applyFill="1" applyBorder="1" applyAlignment="1">
      <alignment horizontal="center" vertical="center"/>
    </xf>
    <xf numFmtId="4" fontId="2" fillId="2" borderId="15" xfId="0" applyNumberFormat="1" applyFont="1" applyFill="1" applyBorder="1" applyAlignment="1">
      <alignment horizontal="center" vertical="center"/>
    </xf>
    <xf numFmtId="4" fontId="2" fillId="2" borderId="16" xfId="0" applyNumberFormat="1" applyFont="1" applyFill="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9" xfId="0" applyBorder="1" applyAlignment="1">
      <alignment horizontal="center" vertical="center"/>
    </xf>
    <xf numFmtId="0" fontId="0" fillId="0" borderId="8" xfId="0" applyBorder="1" applyAlignment="1">
      <alignment horizontal="center" vertical="center"/>
    </xf>
    <xf numFmtId="0" fontId="16" fillId="0" borderId="19" xfId="0" applyFont="1" applyBorder="1" applyAlignment="1" applyProtection="1">
      <alignment horizontal="left" vertical="center" wrapText="1"/>
      <protection hidden="1"/>
    </xf>
    <xf numFmtId="0" fontId="16" fillId="6" borderId="19" xfId="0" applyFont="1" applyFill="1" applyBorder="1" applyAlignment="1" applyProtection="1">
      <alignment horizontal="left" vertical="center" wrapText="1"/>
      <protection hidden="1"/>
    </xf>
    <xf numFmtId="9" fontId="29" fillId="12" borderId="35" xfId="5" applyFont="1" applyFill="1" applyBorder="1" applyAlignment="1">
      <alignment horizontal="center" vertical="center" wrapText="1" readingOrder="1"/>
    </xf>
    <xf numFmtId="0" fontId="29" fillId="12" borderId="35" xfId="0" applyFont="1" applyFill="1" applyBorder="1" applyAlignment="1">
      <alignment horizontal="center" vertical="center" wrapText="1" readingOrder="1"/>
    </xf>
    <xf numFmtId="0" fontId="19" fillId="9" borderId="35" xfId="0" applyFont="1" applyFill="1" applyBorder="1" applyAlignment="1">
      <alignment horizontal="center" vertical="center" wrapText="1" readingOrder="1"/>
    </xf>
    <xf numFmtId="0" fontId="20" fillId="9" borderId="35" xfId="0" applyFont="1" applyFill="1" applyBorder="1" applyAlignment="1">
      <alignment horizontal="right" wrapText="1" readingOrder="1"/>
    </xf>
    <xf numFmtId="0" fontId="20" fillId="0" borderId="35" xfId="0" applyFont="1" applyBorder="1" applyAlignment="1">
      <alignment horizontal="justify" vertical="top" wrapText="1" readingOrder="1"/>
    </xf>
    <xf numFmtId="9" fontId="28" fillId="9" borderId="35" xfId="5" applyFont="1" applyFill="1" applyBorder="1" applyAlignment="1">
      <alignment horizontal="center" vertical="center" wrapText="1" readingOrder="1"/>
    </xf>
    <xf numFmtId="0" fontId="29" fillId="12" borderId="45" xfId="0" applyFont="1" applyFill="1" applyBorder="1" applyAlignment="1">
      <alignment horizontal="center" vertical="center" wrapText="1" readingOrder="1"/>
    </xf>
    <xf numFmtId="0" fontId="29" fillId="12" borderId="38" xfId="0" applyFont="1" applyFill="1" applyBorder="1" applyAlignment="1">
      <alignment horizontal="center" vertical="center" wrapText="1" readingOrder="1"/>
    </xf>
    <xf numFmtId="0" fontId="29" fillId="12" borderId="0" xfId="0" applyFont="1" applyFill="1" applyAlignment="1">
      <alignment horizontal="center" vertical="center" wrapText="1" readingOrder="1"/>
    </xf>
    <xf numFmtId="0" fontId="29" fillId="12" borderId="46" xfId="0" applyFont="1" applyFill="1" applyBorder="1" applyAlignment="1">
      <alignment horizontal="center" vertical="center" wrapText="1" readingOrder="1"/>
    </xf>
    <xf numFmtId="0" fontId="19" fillId="0" borderId="35" xfId="0" applyFont="1" applyBorder="1" applyAlignment="1">
      <alignment horizontal="center" vertical="center" wrapText="1" readingOrder="1"/>
    </xf>
    <xf numFmtId="0" fontId="20" fillId="0" borderId="35" xfId="0" applyFont="1" applyBorder="1" applyAlignment="1">
      <alignment horizontal="right" wrapText="1" readingOrder="1"/>
    </xf>
    <xf numFmtId="9" fontId="28" fillId="0" borderId="35" xfId="5" applyFont="1" applyBorder="1" applyAlignment="1">
      <alignment horizontal="center" vertical="center" wrapText="1" readingOrder="1"/>
    </xf>
    <xf numFmtId="9" fontId="28" fillId="0" borderId="44" xfId="5" applyFont="1" applyBorder="1" applyAlignment="1">
      <alignment horizontal="center" vertical="center" wrapText="1" readingOrder="1"/>
    </xf>
    <xf numFmtId="0" fontId="20" fillId="0" borderId="43" xfId="0" applyFont="1" applyBorder="1" applyAlignment="1">
      <alignment horizontal="right" wrapText="1" readingOrder="1"/>
    </xf>
    <xf numFmtId="0" fontId="20" fillId="9" borderId="43" xfId="0" applyFont="1" applyFill="1" applyBorder="1" applyAlignment="1">
      <alignment horizontal="right" wrapText="1" readingOrder="1"/>
    </xf>
    <xf numFmtId="0" fontId="20" fillId="9" borderId="35" xfId="0" applyFont="1" applyFill="1" applyBorder="1" applyAlignment="1">
      <alignment horizontal="justify" vertical="top" wrapText="1" readingOrder="1"/>
    </xf>
    <xf numFmtId="0" fontId="20" fillId="9" borderId="37" xfId="0" applyFont="1" applyFill="1" applyBorder="1" applyAlignment="1">
      <alignment horizontal="right" vertical="center" wrapText="1" readingOrder="1"/>
    </xf>
    <xf numFmtId="0" fontId="20" fillId="9" borderId="36" xfId="0" applyFont="1" applyFill="1" applyBorder="1" applyAlignment="1">
      <alignment horizontal="right" vertical="center" wrapText="1" readingOrder="1"/>
    </xf>
    <xf numFmtId="0" fontId="20" fillId="9" borderId="35" xfId="0" applyFont="1" applyFill="1" applyBorder="1" applyAlignment="1">
      <alignment horizontal="right" vertical="center" wrapText="1" readingOrder="1"/>
    </xf>
    <xf numFmtId="0" fontId="20" fillId="0" borderId="35" xfId="0" applyFont="1" applyBorder="1" applyAlignment="1">
      <alignment horizontal="center" vertical="center" wrapText="1" readingOrder="1"/>
    </xf>
    <xf numFmtId="0" fontId="20" fillId="9" borderId="35" xfId="0" applyFont="1" applyFill="1" applyBorder="1" applyAlignment="1">
      <alignment horizontal="center" vertical="center" wrapText="1" readingOrder="1"/>
    </xf>
  </cellXfs>
  <cellStyles count="6">
    <cellStyle name="Hipervínculo" xfId="4" builtinId="8"/>
    <cellStyle name="Hyperlink" xfId="3" xr:uid="{122AFFB5-F7E4-4572-8094-258FC4DDC1A4}"/>
    <cellStyle name="Millares" xfId="1" builtinId="3"/>
    <cellStyle name="Moneda" xfId="2" builtinId="4"/>
    <cellStyle name="Normal" xfId="0" builtinId="0"/>
    <cellStyle name="Porcentaje" xfId="5" builtinId="5"/>
  </cellStyles>
  <dxfs count="125">
    <dxf>
      <numFmt numFmtId="168" formatCode="#,##0,,"/>
      <alignment horizontal="center" vertical="center" textRotation="0" indent="0" justifyLastLine="0" shrinkToFit="0"/>
      <border diagonalUp="0" diagonalDown="0">
        <left style="thin">
          <color rgb="FFFF99CC"/>
        </left>
        <right style="thin">
          <color rgb="FFFF99CC"/>
        </right>
        <top style="thin">
          <color rgb="FFFF99CC"/>
        </top>
        <bottom style="thin">
          <color rgb="FFFF99CC"/>
        </bottom>
      </border>
    </dxf>
    <dxf>
      <numFmt numFmtId="168" formatCode="#,##0,,"/>
      <alignment horizontal="center" vertical="center" textRotation="0" indent="0" justifyLastLine="0" shrinkToFit="0"/>
      <border diagonalUp="0" diagonalDown="0">
        <left style="thin">
          <color rgb="FFFF99CC"/>
        </left>
        <right style="thin">
          <color rgb="FFFF99CC"/>
        </right>
        <top style="thin">
          <color rgb="FFFF99CC"/>
        </top>
        <bottom style="thin">
          <color rgb="FFFF99CC"/>
        </bottom>
      </border>
    </dxf>
    <dxf>
      <numFmt numFmtId="168" formatCode="#,##0,,"/>
      <alignment horizontal="center" vertical="center" textRotation="0" indent="0" justifyLastLine="0" shrinkToFit="0"/>
      <border diagonalUp="0" diagonalDown="0">
        <left style="thin">
          <color rgb="FFFF99CC"/>
        </left>
        <right style="thin">
          <color rgb="FFFF99CC"/>
        </right>
        <top style="thin">
          <color rgb="FFFF99CC"/>
        </top>
        <bottom style="thin">
          <color rgb="FFFF99CC"/>
        </bottom>
      </border>
    </dxf>
    <dxf>
      <numFmt numFmtId="168" formatCode="#,##0,,"/>
      <alignment horizontal="center" vertical="center" textRotation="0" indent="0" justifyLastLine="0" shrinkToFit="0"/>
      <border diagonalUp="0" diagonalDown="0">
        <left style="thin">
          <color rgb="FFFF99CC"/>
        </left>
        <right style="thin">
          <color rgb="FFFF99CC"/>
        </right>
        <top style="thin">
          <color rgb="FFFF99CC"/>
        </top>
        <bottom style="thin">
          <color rgb="FFFF99CC"/>
        </bottom>
      </border>
    </dxf>
    <dxf>
      <numFmt numFmtId="168" formatCode="#,##0,,"/>
      <alignment horizontal="center" vertical="center" textRotation="0" indent="0" justifyLastLine="0" shrinkToFit="0"/>
      <border diagonalUp="0" diagonalDown="0">
        <left style="thin">
          <color rgb="FFFF99CC"/>
        </left>
        <right style="thin">
          <color rgb="FFFF99CC"/>
        </right>
        <top style="thin">
          <color rgb="FFFF99CC"/>
        </top>
        <bottom style="thin">
          <color rgb="FFFF99CC"/>
        </bottom>
      </border>
    </dxf>
    <dxf>
      <numFmt numFmtId="168" formatCode="#,##0,,"/>
      <alignment horizontal="center" vertical="center" textRotation="0" indent="0" justifyLastLine="0" shrinkToFit="0"/>
      <border diagonalUp="0" diagonalDown="0">
        <left style="thin">
          <color rgb="FFFF99CC"/>
        </left>
        <right style="thin">
          <color rgb="FFFF99CC"/>
        </right>
        <top style="thin">
          <color rgb="FFFF99CC"/>
        </top>
        <bottom style="thin">
          <color rgb="FFFF99CC"/>
        </bottom>
      </border>
    </dxf>
    <dxf>
      <alignment horizontal="center" vertical="center" textRotation="0" indent="0" justifyLastLine="0" shrinkToFit="0"/>
      <border diagonalUp="0" diagonalDown="0" outline="0">
        <left style="thin">
          <color rgb="FFFF99CC"/>
        </left>
        <right style="thin">
          <color rgb="FFFF99CC"/>
        </right>
        <top style="thin">
          <color rgb="FFFF99CC"/>
        </top>
        <bottom style="thin">
          <color rgb="FFFF99CC"/>
        </bottom>
      </border>
    </dxf>
    <dxf>
      <border outline="0">
        <top style="thick">
          <color rgb="FFAC194F"/>
        </top>
        <bottom style="medium">
          <color rgb="FF000000"/>
        </bottom>
      </border>
    </dxf>
    <dxf>
      <alignment horizontal="center" vertical="center" textRotation="0" indent="0" justifyLastLine="0" shrinkToFit="0"/>
    </dxf>
    <dxf>
      <font>
        <b/>
        <i val="0"/>
        <strike val="0"/>
        <condense val="0"/>
        <extend val="0"/>
        <outline val="0"/>
        <shadow val="0"/>
        <u val="none"/>
        <vertAlign val="baseline"/>
        <sz val="12"/>
        <color theme="0"/>
        <name val="Aptos Narrow"/>
        <scheme val="none"/>
      </font>
      <alignment horizontal="center" vertical="center" textRotation="0" wrapText="1" indent="0" justifyLastLine="0" shrinkToFit="0" readingOrder="1"/>
    </dxf>
    <dxf>
      <font>
        <b/>
        <i val="0"/>
        <strike val="0"/>
        <condense val="0"/>
        <extend val="0"/>
        <outline val="0"/>
        <shadow val="0"/>
        <u val="none"/>
        <vertAlign val="baseline"/>
        <sz val="8"/>
        <color theme="1"/>
        <name val="Aptos Display"/>
        <family val="2"/>
        <scheme val="major"/>
      </font>
      <numFmt numFmtId="167" formatCode="_-* #,##0_-;\-* #,##0_-;_-* &quot;-&quot;??_-;_-@_-"/>
      <alignment horizontal="right"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ont>
        <b/>
        <i val="0"/>
        <sz val="8"/>
        <name val="Calibri"/>
      </font>
      <numFmt numFmtId="167" formatCode="_-* #,##0_-;\-* #,##0_-;_-* &quot;-&quot;??_-;_-@_-"/>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protection locked="0" hidden="0"/>
    </dxf>
    <dxf>
      <font>
        <b/>
        <i val="0"/>
        <strike val="0"/>
        <condense val="0"/>
        <extend val="0"/>
        <outline val="0"/>
        <shadow val="0"/>
        <u val="none"/>
        <vertAlign val="baseline"/>
        <sz val="8"/>
        <color theme="1"/>
        <name val="Aptos Display"/>
        <family val="2"/>
        <scheme val="major"/>
      </font>
      <numFmt numFmtId="167" formatCode="_-* #,##0_-;\-* #,##0_-;_-* &quot;-&quot;??_-;_-@_-"/>
      <alignment horizontal="right"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ont>
        <b/>
        <i val="0"/>
        <strike val="0"/>
        <condense val="0"/>
        <extend val="0"/>
        <outline val="0"/>
        <shadow val="0"/>
        <u val="none"/>
        <vertAlign val="baseline"/>
        <sz val="8"/>
        <color theme="1"/>
        <name val="Calibri"/>
        <scheme val="major"/>
      </font>
      <numFmt numFmtId="167" formatCode="_-* #,##0_-;\-* #,##0_-;_-* &quot;-&quot;??_-;_-@_-"/>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protection locked="0" hidden="0"/>
    </dxf>
    <dxf>
      <font>
        <b val="0"/>
        <i val="0"/>
        <strike val="0"/>
        <condense val="0"/>
        <extend val="0"/>
        <outline val="0"/>
        <shadow val="0"/>
        <u val="none"/>
        <vertAlign val="baseline"/>
        <sz val="8"/>
        <color theme="1"/>
        <name val="Aptos Display"/>
        <family val="2"/>
        <scheme val="major"/>
      </font>
      <numFmt numFmtId="167" formatCode="_-* #,##0_-;\-* #,##0_-;_-* &quot;-&quot;??_-;_-@_-"/>
      <alignment horizontal="right"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8"/>
        <color theme="1"/>
        <name val="Calibri"/>
        <scheme val="major"/>
      </font>
      <numFmt numFmtId="167" formatCode="_-* #,##0_-;\-* #,##0_-;_-* &quot;-&quot;??_-;_-@_-"/>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protection locked="0" hidden="0"/>
    </dxf>
    <dxf>
      <font>
        <b val="0"/>
        <i val="0"/>
        <strike val="0"/>
        <condense val="0"/>
        <extend val="0"/>
        <outline val="0"/>
        <shadow val="0"/>
        <u val="none"/>
        <vertAlign val="baseline"/>
        <sz val="8"/>
        <color theme="1"/>
        <name val="Aptos Display"/>
        <family val="2"/>
        <scheme val="major"/>
      </font>
      <numFmt numFmtId="167" formatCode="_-* #,##0_-;\-* #,##0_-;_-* &quot;-&quot;??_-;_-@_-"/>
      <alignment horizontal="right"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8"/>
        <color theme="1"/>
        <name val="Calibri"/>
        <scheme val="major"/>
      </font>
      <numFmt numFmtId="167" formatCode="_-* #,##0_-;\-* #,##0_-;_-* &quot;-&quot;??_-;_-@_-"/>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protection locked="0" hidden="0"/>
    </dxf>
    <dxf>
      <font>
        <b val="0"/>
        <i val="0"/>
        <strike val="0"/>
        <condense val="0"/>
        <extend val="0"/>
        <outline val="0"/>
        <shadow val="0"/>
        <u val="none"/>
        <vertAlign val="baseline"/>
        <sz val="8"/>
        <color theme="1"/>
        <name val="Aptos Display"/>
        <family val="2"/>
        <scheme val="major"/>
      </font>
      <numFmt numFmtId="167" formatCode="_-* #,##0_-;\-* #,##0_-;_-* &quot;-&quot;??_-;_-@_-"/>
      <alignment horizontal="right"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8"/>
        <color theme="1"/>
        <name val="Calibri"/>
        <scheme val="major"/>
      </font>
      <numFmt numFmtId="167" formatCode="_-* #,##0_-;\-* #,##0_-;_-* &quot;-&quot;??_-;_-@_-"/>
      <alignment horizontal="right"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protection locked="0" hidden="0"/>
    </dxf>
    <dxf>
      <font>
        <b val="0"/>
        <i val="0"/>
        <strike val="0"/>
        <condense val="0"/>
        <extend val="0"/>
        <outline val="0"/>
        <shadow val="0"/>
        <u val="none"/>
        <vertAlign val="baseline"/>
        <sz val="8"/>
        <color theme="1"/>
        <name val="Aptos Display"/>
        <family val="2"/>
        <scheme val="major"/>
      </font>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8"/>
        <color theme="1"/>
        <name val="Aptos Display"/>
        <scheme val="major"/>
      </font>
      <alignment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protection locked="0" hidden="0"/>
    </dxf>
    <dxf>
      <font>
        <b val="0"/>
        <i val="0"/>
        <strike val="0"/>
        <condense val="0"/>
        <extend val="0"/>
        <outline val="0"/>
        <shadow val="0"/>
        <u val="none"/>
        <vertAlign val="baseline"/>
        <sz val="8"/>
        <color theme="1"/>
        <name val="Aptos Display"/>
        <family val="2"/>
        <scheme val="major"/>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ont>
        <b val="0"/>
        <i val="0"/>
        <strike val="0"/>
        <condense val="0"/>
        <extend val="0"/>
        <outline val="0"/>
        <shadow val="0"/>
        <u val="none"/>
        <vertAlign val="baseline"/>
        <sz val="8"/>
        <color theme="1"/>
        <name val="Aptos Display"/>
        <scheme val="major"/>
      </font>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protection locked="0" hidden="0"/>
    </dxf>
    <dxf>
      <font>
        <b val="0"/>
        <i val="0"/>
        <strike val="0"/>
        <condense val="0"/>
        <extend val="0"/>
        <outline val="0"/>
        <shadow val="0"/>
        <u val="none"/>
        <vertAlign val="baseline"/>
        <sz val="8"/>
        <color theme="1"/>
        <name val="Aptos Display"/>
        <family val="2"/>
        <scheme val="major"/>
      </font>
      <fill>
        <patternFill patternType="solid">
          <fgColor theme="5" tint="0.79998168889431442"/>
          <bgColor theme="5"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sz val="8"/>
      </font>
      <fill>
        <patternFill patternType="solid">
          <fgColor theme="5" tint="0.79998168889431442"/>
          <bgColor theme="5" tint="0.79998168889431442"/>
        </patternFill>
      </fill>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8"/>
        <color theme="1"/>
        <name val="Aptos Display"/>
        <family val="2"/>
        <scheme val="major"/>
      </font>
      <fill>
        <patternFill patternType="solid">
          <fgColor theme="5" tint="0.79998168889431442"/>
          <bgColor theme="5"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theme="1"/>
        <name val="Calibri"/>
        <family val="2"/>
        <scheme val="none"/>
      </font>
      <fill>
        <patternFill patternType="solid">
          <fgColor theme="5" tint="0.79998168889431442"/>
          <bgColor theme="5" tint="0.79998168889431442"/>
        </patternFill>
      </fill>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8"/>
        <color theme="1"/>
        <name val="Aptos Display"/>
        <family val="2"/>
        <scheme val="major"/>
      </font>
      <fill>
        <patternFill patternType="solid">
          <fgColor theme="5" tint="0.79998168889431442"/>
          <bgColor theme="5"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theme="1"/>
        <name val="Calibri"/>
        <family val="2"/>
        <scheme val="none"/>
      </font>
      <fill>
        <patternFill patternType="solid">
          <fgColor theme="5" tint="0.79998168889431442"/>
          <bgColor theme="5" tint="0.79998168889431442"/>
        </patternFill>
      </fill>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8"/>
        <color theme="1"/>
        <name val="Aptos Display"/>
        <family val="2"/>
        <scheme val="major"/>
      </font>
      <fill>
        <patternFill patternType="solid">
          <fgColor theme="5" tint="0.79998168889431442"/>
          <bgColor theme="5"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theme="1"/>
        <name val="Aptos Display"/>
        <scheme val="major"/>
      </font>
      <fill>
        <patternFill patternType="solid">
          <fgColor theme="5" tint="0.79998168889431442"/>
          <bgColor theme="5"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8"/>
        <color theme="1"/>
        <name val="Aptos Display"/>
        <family val="2"/>
        <scheme val="maj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1" hidden="1"/>
    </dxf>
    <dxf>
      <font>
        <b val="0"/>
        <i val="0"/>
        <strike val="0"/>
        <condense val="0"/>
        <extend val="0"/>
        <outline val="0"/>
        <shadow val="0"/>
        <u val="none"/>
        <vertAlign val="baseline"/>
        <sz val="8"/>
        <color theme="1"/>
        <name val="Aptos Display"/>
        <scheme val="maj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1" hidden="1"/>
    </dxf>
    <dxf>
      <border outline="0">
        <left style="thin">
          <color indexed="64"/>
        </left>
      </border>
    </dxf>
    <dxf>
      <font>
        <b val="0"/>
        <i val="0"/>
        <name val="Calibri"/>
      </font>
    </dxf>
    <dxf>
      <font>
        <b val="0"/>
        <i val="0"/>
        <name val="Calibri"/>
      </font>
    </dxf>
    <dxf>
      <numFmt numFmtId="0" formatCode="General"/>
    </dxf>
    <dxf>
      <numFmt numFmtId="19" formatCode="d/mm/yyyy"/>
      <border diagonalUp="0" diagonalDown="0" outline="0">
        <left style="thin">
          <color rgb="FF000000"/>
        </left>
        <right style="thin">
          <color rgb="FF000000"/>
        </right>
        <top style="thin">
          <color rgb="FF000000"/>
        </top>
        <bottom/>
      </border>
    </dxf>
    <dxf>
      <numFmt numFmtId="19" formatCode="d/mm/yyyy"/>
      <border diagonalUp="0" diagonalDown="0" outline="0">
        <left style="thin">
          <color rgb="FF000000"/>
        </left>
        <right style="thin">
          <color rgb="FF000000"/>
        </right>
        <top style="thin">
          <color rgb="FF000000"/>
        </top>
        <bottom style="thin">
          <color rgb="FF000000"/>
        </bottom>
      </border>
    </dxf>
    <dxf>
      <numFmt numFmtId="3" formatCode="#,##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theme="1"/>
        <name val="Calibri"/>
        <family val="2"/>
        <scheme val="none"/>
      </font>
      <numFmt numFmtId="3" formatCode="#,##0"/>
      <border diagonalUp="0" diagonalDown="0">
        <left/>
        <right style="thin">
          <color rgb="FF000000"/>
        </right>
        <top style="thin">
          <color rgb="FF000000"/>
        </top>
        <bottom style="thin">
          <color rgb="FF000000"/>
        </bottom>
        <vertical/>
        <horizontal/>
      </border>
    </dxf>
    <dxf>
      <numFmt numFmtId="3" formatCode="#,##0"/>
      <border diagonalUp="0" diagonalDown="0" outline="0">
        <left style="thin">
          <color rgb="FF000000"/>
        </left>
        <right style="thin">
          <color rgb="FF000000"/>
        </right>
        <top style="thin">
          <color rgb="FF000000"/>
        </top>
        <bottom/>
      </border>
    </dxf>
    <dxf>
      <numFmt numFmtId="3" formatCode="#,##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scheme val="none"/>
      </font>
      <numFmt numFmtId="3" formatCode="#,##0"/>
      <fill>
        <patternFill patternType="none">
          <fgColor indexed="64"/>
          <bgColor indexed="65"/>
        </patternFill>
      </fill>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font>
        <color rgb="FF000000"/>
      </font>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Calibri"/>
        <family val="2"/>
        <scheme val="none"/>
      </font>
      <numFmt numFmtId="3" formatCode="#,##0"/>
      <alignment horizontal="right" vertical="bottom" textRotation="0" wrapText="0" indent="0" justifyLastLine="0" shrinkToFit="0" readingOrder="0"/>
      <border diagonalUp="0" diagonalDown="0">
        <left style="thin">
          <color indexed="64"/>
        </left>
        <right style="thin">
          <color indexed="64"/>
        </right>
        <top style="thin">
          <color indexed="64"/>
        </top>
        <bottom/>
        <vertical/>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numFmt numFmtId="3" formatCode="#,##0"/>
      <alignment horizontal="righ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scheme val="none"/>
      </font>
      <numFmt numFmtId="3" formatCode="#,##0"/>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font>
        <color rgb="FF000000"/>
      </font>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Calibri"/>
        <family val="2"/>
        <scheme val="none"/>
      </font>
      <numFmt numFmtId="3" formatCode="#,##0"/>
      <alignment horizontal="right" vertical="bottom" textRotation="0" wrapText="0" indent="0" justifyLastLine="0" shrinkToFit="0" readingOrder="0"/>
      <border diagonalUp="0" diagonalDown="0">
        <left style="thin">
          <color indexed="64"/>
        </left>
        <right style="thin">
          <color indexed="64"/>
        </right>
        <top style="thin">
          <color indexed="64"/>
        </top>
        <bottom/>
        <vertical/>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Calibri"/>
        <scheme val="none"/>
      </font>
      <numFmt numFmtId="3" formatCode="#,##0"/>
      <alignment horizontal="righ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protection locked="0" hidden="0"/>
    </dxf>
    <dxf>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border>
    </dxf>
    <dxf>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border>
    </dxf>
    <dxf>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border>
    </dxf>
    <dxf>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border>
    </dxf>
    <dxf>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border>
    </dxf>
    <dxf>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border>
    </dxf>
    <dxf>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0" indent="0" justifyLastLine="0" shrinkToFit="0" readingOrder="0"/>
      <border diagonalUp="0" diagonalDown="0" outline="0">
        <left/>
        <right style="thin">
          <color rgb="FF000000"/>
        </right>
        <top style="thin">
          <color rgb="FF000000"/>
        </top>
        <bottom/>
      </border>
    </dxf>
    <dxf>
      <alignment horizontal="center" vertical="center" textRotation="0" wrapText="0"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alignment horizontal="center" vertical="center" textRotation="0" wrapText="1" indent="0" justifyLastLine="0" shrinkToFit="0" readingOrder="0"/>
      <border>
        <left style="thin">
          <color rgb="FF000000"/>
        </left>
        <right style="thin">
          <color rgb="FF000000"/>
        </right>
        <top/>
        <bottom/>
        <vertical style="thin">
          <color rgb="FF000000"/>
        </vertical>
        <horizontal style="thin">
          <color rgb="FF000000"/>
        </horizontal>
      </border>
    </dxf>
    <dxf>
      <alignment wrapText="1"/>
    </dxf>
    <dxf>
      <alignment vertical="center"/>
    </dxf>
    <dxf>
      <alignment horizontal="center"/>
    </dxf>
    <dxf>
      <alignment wrapText="1"/>
    </dxf>
    <dxf>
      <alignment wrapText="1"/>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6" formatCode="&quot;$&quot;#,##0,,"/>
    </dxf>
  </dxfs>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orena Cruz" refreshedDate="45862.836553009256" createdVersion="8" refreshedVersion="8" minRefreshableVersion="3" recordCount="35" xr:uid="{60E6E309-EF0A-44B2-A276-581094453C3B}">
  <cacheSource type="worksheet">
    <worksheetSource name="VigenciasFuturas34"/>
  </cacheSource>
  <cacheFields count="20">
    <cacheField name="Rubro" numFmtId="0">
      <sharedItems count="11">
        <s v="305 (8235)"/>
        <s v="290 (8177)"/>
        <s v="314 (8230)"/>
        <s v="F /O21202020080585250- Servicios de protección (guardas de seguridad)"/>
        <s v="F / O21202020060464114_Servicios de transporte terrestre especial local de pasajeros"/>
        <s v="296  (8214)"/>
        <s v="F /O21202020080585961 Servicios de organización y asistencia de convenciones"/>
        <s v="290 (8177) "/>
        <s v="312 (8229)"/>
        <s v="F / O21202020080484150 Servicios de transmisión de datos"/>
        <s v="296 (8214)"/>
      </sharedItems>
    </cacheField>
    <cacheField name="META PDD" numFmtId="0">
      <sharedItems/>
    </cacheField>
    <cacheField name="ACT PROYECTO" numFmtId="0">
      <sharedItems containsBlank="1"/>
    </cacheField>
    <cacheField name="Concepto de Gasto" numFmtId="0">
      <sharedItems/>
    </cacheField>
    <cacheField name="Fuente" numFmtId="0">
      <sharedItems/>
    </cacheField>
    <cacheField name="Objeto" numFmtId="0">
      <sharedItems count="24" longText="1">
        <s v="PRESTAR EL SERVICIO DE ALIMENTACIÓN PREPARADA EN SITIO BAJO LA MODALIDAD DE RACIÓN DIARIA CON DESTINO A TODAS LAS PERSONAS PRIVADAS DE LA LIBERTAD QUE SE ENCUENTRAN EN LA CÁRCEL DISTRITAL DE VARONES Y ANEXO DE MUJERES DE BOGOTÁ D.C.”."/>
        <s v="REALIZAR EL MANTENIMIENTO PREVENTIVO Y CORRECTIVO DE LAS AERONAVES ADSCRITAS AL PROGRAMA DE VIGILANCIA Y SEGURIDAD AÉREA URBANA DENOMINADO “HALCON”; ASI COMO EL EQUIPO MISIÓN"/>
        <s v="INTERVENTORIA AL MANTENIMIENTO PREVENTIVO Y CORRECTIVO DE LAS AERONAVES ADSCRITAS AL PROGRAMA DE VIGILANCIA Y SEGURIDAD AÉREA URBANA DENOMINADO “HALCON”; ASI COMO EL EQUIPO MISIÓN_x000a_"/>
        <s v="REALIZAR EL MANTENIMIENTO PREVENTIVO Y/O CORRECTIVO CON SUMINISTRO DE REPUESTOS A LAS PLANTAS ELÉCTRICAS, AIRES ACONDICIONADOS Y UPS DE LOS ORGANISMOS DE SEGURIDAD E INTELIGENCIA DEL ESTADO CON JURISDICCIÓN EN EL DISTRITO CAPITAL Y LA SECRETARIA DISTRITAL DE SEGURIDAD, CONVIVENCIA Y JUSTICIA."/>
        <s v="INTERVENTORIA AL MANTENIMIENTO PREVENTIVO Y/O CORRECTIVO CON SUMINISTRO DE REPUESTOS A LAS PLANTAS ELÉCTRICAS, AIRES ACONDICIONADOS Y UPS DE LA SECRETARIA DISTRITAL DE SEGURIDAD, CONVIVENCIA Y JUSTICIA."/>
        <s v="SUMINISTRO DE COMBUSTIBLE PARA LOS AUTOMOTORES DE LOS ORGANISMOS DE SEGURIDAD DEL D.C, LAS CASAS DE JUSTICIA MÓVILES Y LOS EQUIPOS DE COMBUSTIÓN INTERNA DE PROPIEDAD Y/O A CARGO DE LA SDSCJ."/>
        <s v="REALIZAR EL MANTENIMIENTO Y MEJORAMIENTO DE LOS EQUIPAMIENTOS DE INFRAESTRUCTURA A CARGO DE LA SDSCJ Y AGENCIAS"/>
        <s v="REALIZAR LA INTERVENTORIA AL CONTRATO DE MANTENIMIENTO Y MEJORAMIENTO DE LOS EQUIPAMIENTOS DE INFRAESTRUCTURA A CARGO DE LA SDSCJ Y AGENCIAS"/>
        <s v="REALIZAR EL MANTENIMIENTO PREVENTIVO Y CORRECTIVO DE LOS ASCENSORES EN PROPIEDAD O A CARGO DE LA SDSCJ"/>
        <s v="MANTENIMIENTO PREVENTIVO Y CORRECTIVO DE INFRAESTRUCTURA FÍSICA Y EQUIPOS DE LA CÁRCEL DISTRITAL DE VARONES Y ANEXO DE MUJERES ADMINISTRADA POR LA SDSCJ"/>
        <s v="INTERVENTORÍA MANTENIMIENTO PREVENTIVO Y CORRECTIVO DE INFRAESTRUCTURA FÍSICA Y EQUIPOS DE LA CÁRCEL DISTRITAL DE VARONES Y ANEXO DE MUJERES ADMINISTRADA POR LA SDSCJ"/>
        <s v="PRESTACIÓN DEL SERVICIO INTEGRAL DE VIGILANCIA Y SEGURIDAD EN LA MODALIDAD DE VIGILANCIA FIJA, MÓVIL CON Y SIN ARMAS Y DE VIGILANCIA CON MEDIOS TECNOLÓGICOS PARA BIENES MUEBLES E INMUEBLES DE PROPIEDAD Y/O A CARGO DE LA SECRETARÍA DISTRITAL DE SEGURIDAD, CONVIVENCIA Y JUSTICIA."/>
        <s v="PRESTAR EL SERVICIO DE TRANSPORTE TERRESTRE ESPECIAL QUE GARANTICE EL CUMPLIMIENTO DE LOS OBJETIVOS MISIONALES DE LA SECRETARÍA DISTRITAL DE SEGURIDAD, CONVIVENCIA Y JUSTICIA"/>
        <s v="MANTENIMIENTO PREVENTIVO Y/O CORRECTIVO, CON BOLSA DE REPUESTOS A TODA LA INFRAESTRUCTURA DEL SISTEMA RADIO TRONCALIZADO AL SERVICIO DE LA POLICÍA METROPOLITANA DE BOGOTÁ Y AGENCIAS DEL DISTRITO"/>
        <s v="CONTRATAR LA PRESTACIÓN DE SERVICIOS DE UN OPERADOR LOGÍSTICO, PARA LA PLANEACIÓN, ORGANIZACIÓN, ADMINISTRACIÓN, PRODUCCIÓN, EJECUCIÓN Y DEMÁS ACCIONES LOGÍSTICAS NECESARIAS PARA LA REALIZACIÓN DE LOS EVENTOS Y ACTIVIDADES PROGRAMADAS POR LAS DEPENDENCIAS DE LA SECRETARÍA DISTRITAL DE SEGURIDAD, CONVIVENCIA Y JUSTICIA."/>
        <s v="PRESTAR LOS SERVICIOS DE MESA DE SERVICIOS DE TI PARA LA SECRETARÍA DISTRITAL DE SEGURIDAD, CONVIVENCIA Y JUSTICIA"/>
        <s v="PRESTACIÓN DEL SERVICIO DE SALUD A LAS PERSONAS PRIVADAS DE LA LIBERTAD A CARGO DE LA SECRETARÍA DISTRITAL DE SEGURIDAD, CONVIVENCIA Y JUSTICIA, REALIZANDO LOS EXÁMENES MÉDICOS Y ODONTOLÓGICOS DE INGRESO Y EGRESO, ASÍ COMO EFECTUAR LA ATENCIÓN, VALORACIÓN PRIMARIA, EVALUANDO EL ESTADO FÍSICO, PATOLOGÍAS O DEMÁS AFECCIONES QUE SE PRESENTEN Y REMISIONES SEGÚN CORRESPONDA A LAS ENTIDADES PRESTADORAS DE SALUD"/>
        <s v="ARRENDAMIENTO INMUEBLE CAPACITACIÓN AUXILIARES DE POLICIA AUXPO (SEDE A)"/>
        <s v="ARRENDAMIENTO DE UN PREDIO PARA EL USO COMO PARQUEADERO DE LOS VEHICULOS DE LA SECCIONAL DE INTELIGENCIA POLICIAL-SIPOL-MEBOG"/>
        <s v="ARRENDAMIENTO DEL INMUEBLE PARA EL FUNCIONAMIENTO DEL PUESTO DE CONTROL EN LA LOCALIDAD DE SUMAPAZ"/>
        <s v="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
        <s v="PRESTAR LOS SERVICIOS DE CONECTIVIDAD PARA EL SISTEMA DE VIDEOVIGILANCIA DE BOGOTÁ, LA RED WAN, INTERNET MÓVIL Y VOZ, EMPLEADOS POR LOS ORGANISMOS DE SEGURIDAD CON JURISDICCIÓN EN EL DISTRITO CAPITAL Y LA SECRETARÍA DISTRITAL DE SEGURIDAD, CONVIVENCIA Y JUSTICIA. COMPONENTE 1: CONECTIVIDAD PARA EL SISTEMA DE VIDEOVIGILANCIA E INTEGRACIÓN DE PRIVADOS DE BOGOTÁ; COMPONENTE 2: RED WAN; COMPONENTE 3: SERVICIO INTEGRADO DE CANALES DE COMUNICACIÓN, INTERNET, TELEFONIA IP, ENVIO MASIVO DE MENSAJES CORTOS DE TEXTO – SMS Y MAILING"/>
        <s v="CONTRATAR LA INTERVENTORÍA ADMINISTRATIVA, FINANCIERA, TÉCNICA, AMBIENTAL, CONTABLE Y JURÍDICA PARA EL CONTRATO CUYO OBJETO ES: PRESTAR LOS SERVICIOS DE CONECTIVIDAD PARA EL SISTEMA DE VIDEOVIGILANCIA DE BOGOTÁ, LA RED WAN, INTERNET MÓVIL Y VOZ, EMPLEADOS POR LOS ORGANISMOS DE SEGURIDAD CON JURISDICCIÓN EN EL DISTRITO CAPITAL Y LA SECRETARÍA DISTRITAL DE SEGURIDAD, CONVIVENCIA Y JUSTICIA, COMPONENTE 1. CONECTIVIDAD PARA EL SISTEMA DE VIDEOVIGILANCIA E INTEGRACIÓN DE PRIVADOS DE BOGOTÁ"/>
        <s v="Suministro de alimentos y bebidas para el personal de los organismos de seguridad que prestan sus servicios en el Distrito Capital. "/>
      </sharedItems>
    </cacheField>
    <cacheField name="TEMA" numFmtId="0">
      <sharedItems count="17">
        <s v="01. ALIMENTACIÓN CÁRCEL"/>
        <s v="02. MANTENIMIENTO AERONAVES"/>
        <s v="03. MANTENIMIENTO AIRES ACONDICIONADOS"/>
        <s v="04. COMBUSTIBLE"/>
        <s v="05. MANTENIMIENTO EQUIPAMIENTOS"/>
        <s v="06. MANTENIMIENTO ASCENSORES"/>
        <s v="07. MANTENIMIENTO CARCEL"/>
        <s v="08. VIGILANCIA"/>
        <s v="09. TRANSPORTE"/>
        <s v="10. RADIO TRONCALIZADO"/>
        <s v="11. OPERADOR LOGÍSTICO"/>
        <s v="12. MESA DE SERVICIOS"/>
        <s v="13. SALUD CÁRCEL"/>
        <s v="14. ARRENDAMIENTO"/>
        <s v="15. GESTORES DE CONVIVENCIA"/>
        <s v="16. CONECTIVIDAD"/>
        <s v="17. ALIMENTOS Y BEBIDAS"/>
      </sharedItems>
    </cacheField>
    <cacheField name="Linea de Inversión" numFmtId="0">
      <sharedItems containsMixedTypes="1" containsNumber="1" containsInteger="1" minValue="31039" maxValue="314048"/>
    </cacheField>
    <cacheField name="Recursos disponibles 2025" numFmtId="3">
      <sharedItems containsSemiMixedTypes="0" containsString="0" containsNumber="1" minValue="8532674" maxValue="16525000000" count="35">
        <n v="12043353630"/>
        <n v="4728232760"/>
        <n v="271767240"/>
        <n v="210741350"/>
        <n v="37189650"/>
        <n v="1438522150"/>
        <n v="253856850"/>
        <n v="15294375"/>
        <n v="7611797714.0625"/>
        <n v="5287500000"/>
        <n v="1762500000"/>
        <n v="418500000"/>
        <n v="139500000"/>
        <n v="102782654"/>
        <n v="79262429"/>
        <n v="852578874"/>
        <n v="178883558"/>
        <n v="7284549394"/>
        <n v="956425076"/>
        <n v="3014555078"/>
        <n v="1034106868"/>
        <n v="4944000000"/>
        <n v="688974531"/>
        <n v="134400000"/>
        <n v="969110105"/>
        <n v="1367913840"/>
        <n v="493598400"/>
        <n v="95710813"/>
        <n v="8532674"/>
        <n v="465000000"/>
        <n v="754972359"/>
        <n v="837317433"/>
        <n v="16525000000"/>
        <n v="302973000"/>
        <n v="2302732674"/>
      </sharedItems>
    </cacheField>
    <cacheField name="Recursos vigencia futura 2026" numFmtId="3">
      <sharedItems containsSemiMixedTypes="0" containsString="0" containsNumber="1" minValue="15686865" maxValue="52100764563"/>
    </cacheField>
    <cacheField name="Recursos vigencia futura 2027" numFmtId="3">
      <sharedItems containsString="0" containsBlank="1" containsNumber="1" minValue="16502582" maxValue="20256177240"/>
    </cacheField>
    <cacheField name="TOTAL CORRIENTES" numFmtId="3">
      <sharedItems containsSemiMixedTypes="0" containsString="0" containsNumber="1" minValue="26822125" maxValue="52100764563"/>
    </cacheField>
    <cacheField name="VALOR TOTAL CONTRATO CORRIENTES" numFmtId="3">
      <sharedItems containsSemiMixedTypes="0" containsString="0" containsNumber="1" minValue="40722121" maxValue="68625764563"/>
    </cacheField>
    <cacheField name="2025" numFmtId="0">
      <sharedItems containsSemiMixedTypes="0" containsString="0" containsNumber="1" containsInteger="1" minValue="8532674" maxValue="16525000000"/>
    </cacheField>
    <cacheField name="2026" numFmtId="3">
      <sharedItems containsSemiMixedTypes="0" containsString="0" containsNumber="1" containsInteger="1" minValue="15229966" maxValue="50509708738"/>
    </cacheField>
    <cacheField name="2027" numFmtId="3">
      <sharedItems containsString="0" containsBlank="1" containsNumber="1" containsInteger="1" minValue="15555266" maxValue="19093389801"/>
    </cacheField>
    <cacheField name="TOTAL CONSTANTES" numFmtId="3">
      <sharedItems containsSemiMixedTypes="0" containsString="0" containsNumber="1" containsInteger="1" minValue="26040898" maxValue="50509708738"/>
    </cacheField>
    <cacheField name="VALOR TOTAL CONTRATO CONSTANTES" numFmtId="3">
      <sharedItems containsSemiMixedTypes="0" containsString="0" containsNumber="1" containsInteger="1" minValue="39317906" maxValue="67034708738"/>
    </cacheField>
    <cacheField name="ESTADO" numFmtId="3">
      <sharedItems count="3">
        <s v="APROBADA"/>
        <s v="EN TRÁMITE"/>
        <s v="CANCELADO"/>
      </sharedItems>
    </cacheField>
    <cacheField name="FECHA DE APROBACIÓN" numFmtId="14">
      <sharedItems containsNonDate="0" containsDate="1" containsString="0" containsBlank="1" minDate="2025-04-16T00:00:00" maxDate="2025-06-19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5">
  <r>
    <x v="0"/>
    <s v="Implementar 1 Plan(es) de atención y descongestión carcelaria que incluya la implementación de mecanismos de justicia restaurativa atención integral a PPL y atención a la población pospenada"/>
    <s v="Garantizar al 100 Porciento de la población Privada de la libertad sus condiciones de vida digna y respeto a los derechos humanos en los establecimientos carcelarios y centros de detención"/>
    <s v="O232020200663393_Otros servicios de comidas contratadas"/>
    <s v="1-100-F001_ VA-RECURSOS DISTRITO"/>
    <x v="0"/>
    <x v="0"/>
    <n v="305064"/>
    <x v="0"/>
    <n v="19666223360"/>
    <n v="20256177240"/>
    <n v="39922400600"/>
    <n v="51965754230"/>
    <n v="12043353630"/>
    <n v="19093420738"/>
    <n v="19093389801"/>
    <n v="38186810539"/>
    <n v="50230164169"/>
    <x v="0"/>
    <d v="2025-04-16T00:00:00"/>
  </r>
  <r>
    <x v="1"/>
    <s v="Aplicar 1 Modelo(s) de fortalecimiento a las capacidades operativas de vigilancia policial funciones militares y otras de apoyo a la seguridad la convivencia y la justicia"/>
    <s v="Desarrollar 1 Estrategia(s) de dotación a los organismos de seguridad y justicia"/>
    <s v="O23202020088714999_Servicio de mantenimiento y reparación de otro equipo de transporte n.c.p., excepto vehículos automotores y motocicletas "/>
    <s v=" 1-100-I015_ VA-5% CONTRATOS DE OBRA PÚBLICA "/>
    <x v="1"/>
    <x v="1"/>
    <n v="290032"/>
    <x v="1"/>
    <n v="5622758624"/>
    <n v="5411508616"/>
    <n v="11034267240"/>
    <n v="15762500000"/>
    <n v="4728232760"/>
    <n v="5458988956"/>
    <n v="5100865884"/>
    <n v="10559854840"/>
    <n v="15288087600"/>
    <x v="0"/>
    <d v="2025-04-16T00:00:00"/>
  </r>
  <r>
    <x v="1"/>
    <s v="Aplicar 1 Modelo(s) de fortalecimiento a las capacidades operativas de vigilancia policial funciones militares y otras de apoyo a la seguridad la convivencia y la justicia"/>
    <s v="Desarrollar 1 Estrategia(s) de dotación a los organismos de seguridad y justicia"/>
    <s v="O23202020088714999_Servicio de mantenimiento y reparación de otro equipo de transporte n.c.p., excepto vehículos automotores y motocicletas "/>
    <s v=" 1-100-I015_ VA-5% CONTRATOS DE OBRA PÚBLICA "/>
    <x v="2"/>
    <x v="1"/>
    <n v="290032"/>
    <x v="2"/>
    <n v="652241376"/>
    <n v="652241384"/>
    <n v="1304482760"/>
    <n v="1576250000"/>
    <n v="271767240"/>
    <n v="633244054"/>
    <n v="614800060"/>
    <n v="1248044114"/>
    <n v="1519811354"/>
    <x v="0"/>
    <d v="2025-04-16T00:00:00"/>
  </r>
  <r>
    <x v="2"/>
    <s v="Ejecutar al, 100, %, la prestación de servicios de seguridad convivencia y justicia garantizando la operación y gestión de la estructura organizacional"/>
    <s v="Realizar el 100 Porciento del servicio de mantenimiento locativo y dotación (infraestructura) de las sedes al servicio de la SDSCJ."/>
    <s v="O23202020088715999_Servicio de mantenimiento y reparación de otros equipos n.c.p."/>
    <s v="1-100-F001_ VA-RECURSOS DISTRITO"/>
    <x v="3"/>
    <x v="2"/>
    <n v="290039"/>
    <x v="3"/>
    <n v="297517200"/>
    <n v="273343928"/>
    <n v="570861128"/>
    <n v="781602478"/>
    <n v="210741350"/>
    <n v="288851650"/>
    <n v="257652868"/>
    <n v="546504518"/>
    <n v="757245868"/>
    <x v="0"/>
    <d v="2025-04-16T00:00:00"/>
  </r>
  <r>
    <x v="2"/>
    <s v="Ejecutar al, 100, %, la prestación de servicios de seguridad convivencia y justicia garantizando la operación y gestión de la estructura organizacional"/>
    <s v="Realizar el 100 Porciento del servicio de mantenimiento locativo y dotación (infraestructura) de las sedes al servicio de la SDSCJ."/>
    <s v="O23202020088715999_Servicio de mantenimiento y reparación de otros equipos n.c.p."/>
    <s v="1-100-F001_ VA-RECURSOS DISTRITO"/>
    <x v="4"/>
    <x v="2"/>
    <n v="290039"/>
    <x v="4"/>
    <n v="39049133"/>
    <n v="41001589"/>
    <n v="80050722"/>
    <n v="117240372"/>
    <n v="37189650"/>
    <n v="37911780"/>
    <n v="38647930"/>
    <n v="76559710"/>
    <n v="113749360"/>
    <x v="0"/>
    <d v="2025-04-16T00:00:00"/>
  </r>
  <r>
    <x v="1"/>
    <s v="Aplicar 1 Modelo(s) de fortalecimiento a las capacidades operativas de vigilancia policial funciones militares y otras de apoyo a la seguridad la convivencia y la justicia"/>
    <s v="Desarrollar 1 Plan(es) de mejoramiento de los organismos de seguridad con énfasis en tecnología, para proyectar su crecimiento y avanzar hacia la anticipación y la respuesta oportuna y efectiva a incidentes complejos o de alto impacto."/>
    <s v="O23202020088715999_Servicio de mantenimiento y reparación de otros equipos n.c.p."/>
    <s v=" 1-100-I015_ VA-5% CONTRATOS DE OBRA PÚBLICA "/>
    <x v="3"/>
    <x v="2"/>
    <n v="290039"/>
    <x v="5"/>
    <n v="2030854800"/>
    <n v="1865847848"/>
    <n v="3896702648"/>
    <n v="5335224798"/>
    <n v="1438522150"/>
    <n v="1971703689"/>
    <n v="1758740549"/>
    <n v="3730444238"/>
    <n v="5168966388"/>
    <x v="0"/>
    <d v="2025-04-16T00:00:00"/>
  </r>
  <r>
    <x v="1"/>
    <s v="Aplicar 1 Modelo(s) de fortalecimiento a las capacidades operativas de vigilancia policial funciones militares y otras de apoyo a la seguridad la convivencia y la justicia"/>
    <s v="Desarrollar 1 Plan(es) de mejoramiento de los organismos de seguridad con énfasis en tecnología, para proyectar su crecimiento y avanzar hacia la anticipación y la respuesta oportuna y efectiva a incidentes complejos o de alto impacto."/>
    <s v="O23202020088715999_Servicio de mantenimiento y reparación de otros equipos n.c.p."/>
    <s v=" 1-100-I015_ VA-5% CONTRATOS DE OBRA PÚBLICA "/>
    <x v="4"/>
    <x v="2"/>
    <n v="290039"/>
    <x v="6"/>
    <n v="266549693"/>
    <n v="279877177"/>
    <n v="546426870"/>
    <n v="800283720"/>
    <n v="253856850"/>
    <n v="258786110"/>
    <n v="263811082"/>
    <n v="522597192"/>
    <n v="776454042"/>
    <x v="0"/>
    <d v="2025-04-16T00:00:00"/>
  </r>
  <r>
    <x v="2"/>
    <s v="Ejecutar al, 100, %, la prestación de servicios de seguridad convivencia y justicia garantizando la operación y gestión de la estructura organizacional"/>
    <s v="Proveer el 100 Porciento de los servicios administrativos necesarios para la operación y funcionamiento de la entidad con debida oportunidad"/>
    <s v="O232020200662291- Comercio al por menor de combustibles para vehículos automotores,  aceites y grasas  lubricantes y productos relacionados en establecimientos especializados"/>
    <s v="1-100-F001_ VA-RECURSOS DISTRITO"/>
    <x v="5"/>
    <x v="3"/>
    <n v="314044"/>
    <x v="7"/>
    <n v="26822125"/>
    <m/>
    <n v="26822125"/>
    <n v="42116500"/>
    <n v="15294375"/>
    <n v="26040898"/>
    <m/>
    <n v="26040898"/>
    <n v="41335273"/>
    <x v="0"/>
    <d v="2025-04-16T00:00:00"/>
  </r>
  <r>
    <x v="1"/>
    <s v="Aplicar 1 Modelo(s) de fortalecimiento a las capacidades operativas de vigilancia policial funciones militares y otras de apoyo a la seguridad la convivencia y la justicia"/>
    <s v="Desarrollar 1 Estrategia(s) de dotación a los organismos de seguridad y justicia"/>
    <s v="O232020200662291- Comercio al por menor de combustibles para vehículos automotores,  aceites y grasas  lubricantes y productos relacionados en establecimientos especializados"/>
    <s v=" 1-100-I015_ VA-5% CONTRATOS DE OBRA PÚBLICA "/>
    <x v="5"/>
    <x v="3"/>
    <n v="290024"/>
    <x v="8"/>
    <n v="10149063618.75"/>
    <m/>
    <n v="10149063618.75"/>
    <n v="17760861332.8125"/>
    <n v="7611797714"/>
    <n v="9853459824"/>
    <m/>
    <n v="9853459824"/>
    <n v="17465257538"/>
    <x v="0"/>
    <d v="2025-04-16T00:00:00"/>
  </r>
  <r>
    <x v="1"/>
    <s v="Aplicar 1 Modelo(s) de fortalecimiento a las capacidades operativas de vigilancia policial funciones militares y otras de apoyo a la seguridad la convivencia y la justicia"/>
    <s v="Desarrollar 1 Plan(es) para organismos de seguridad y justicia"/>
    <s v="O2320202005040154129 - Servicios generales de construcción de otros edificios no residenciales"/>
    <s v=" 1-100-I015_ VA-5% CONTRATOS DE OBRA PÚBLICA "/>
    <x v="6"/>
    <x v="4"/>
    <n v="290009"/>
    <x v="9"/>
    <n v="5400000000"/>
    <n v="6750000000"/>
    <n v="12150000000"/>
    <n v="17437500000"/>
    <n v="5287500000"/>
    <n v="5242718447"/>
    <n v="6362522387"/>
    <n v="11605240834"/>
    <n v="16892740834"/>
    <x v="0"/>
    <d v="2025-04-16T00:00:00"/>
  </r>
  <r>
    <x v="2"/>
    <s v="Ejecutar al, 100, %, la prestación de servicios de seguridad convivencia y justicia garantizando la operación y gestión de la estructura organizacional"/>
    <s v="Realizar el 100 Porciento del servicio de mantenimiento locativo y dotación (infraestructura) de las sedes al servicio de la SDSCJ."/>
    <s v="O2320202005040154129_Servicios generales de construcción de otros edificios no residenciales."/>
    <s v="1-100-F001_ VA-RECURSOS DISTRITO"/>
    <x v="6"/>
    <x v="4"/>
    <n v="314027"/>
    <x v="10"/>
    <n v="1800000000"/>
    <n v="2250000000"/>
    <n v="4050000000"/>
    <n v="5812500000"/>
    <n v="1762500000"/>
    <n v="1747572816"/>
    <n v="2120840796"/>
    <n v="3868413612"/>
    <n v="5630913612"/>
    <x v="0"/>
    <d v="2025-04-16T00:00:00"/>
  </r>
  <r>
    <x v="1"/>
    <s v="Aplicar 1 Modelo(s) de fortalecimiento a las capacidades operativas de vigilancia policial funciones militares y otras de apoyo a la seguridad la convivencia y la justicia"/>
    <s v="Desarrollar 1 Plan(es) para organismos de seguridad y justicia"/>
    <s v="O2320202005040154129 - Servicios generales de construcción de otros edificios no residenciales"/>
    <s v=" 1-100-I015_ VA-5% CONTRATOS DE OBRA PÚBLICA "/>
    <x v="7"/>
    <x v="4"/>
    <n v="290009"/>
    <x v="11"/>
    <n v="837000000"/>
    <n v="837000000"/>
    <n v="1674000000"/>
    <n v="2092500000"/>
    <n v="418500000"/>
    <n v="812621359"/>
    <n v="788952776"/>
    <n v="1601574135"/>
    <n v="2020074135"/>
    <x v="0"/>
    <d v="2025-04-16T00:00:00"/>
  </r>
  <r>
    <x v="2"/>
    <s v="Ejecutar al, 100, %, la prestación de servicios de seguridad convivencia y justicia garantizando la operación y gestión de la estructura organizacional"/>
    <s v="Realizar el 100 Porciento del servicio de mantenimiento locativo y dotación (infraestructura) de las sedes al servicio de la SDSCJ."/>
    <s v="O2320202005040154129_Servicios generales de construcción de otros edificios no residenciales."/>
    <s v="1-100-F001_ VA-RECURSOS DISTRITO"/>
    <x v="7"/>
    <x v="4"/>
    <n v="314028"/>
    <x v="12"/>
    <n v="279000000"/>
    <n v="279000000"/>
    <n v="558000000"/>
    <n v="697500000"/>
    <n v="139500000"/>
    <n v="270873786"/>
    <n v="262984259"/>
    <n v="533858045"/>
    <n v="673358045"/>
    <x v="0"/>
    <d v="2025-04-16T00:00:00"/>
  </r>
  <r>
    <x v="1"/>
    <s v="Aplicar 1 Modelo(s) de fortalecimiento a las capacidades operativas de vigilancia policial funciones militares y otras de apoyo a la seguridad la convivencia y la justicia"/>
    <s v="Desarrollar 1 Plan(es) para organismos de seguridad y justicia"/>
    <s v="O23202020088715701- Servicio de mantenimiento y reparación de ascensores"/>
    <s v=" 1-100-I015_ VA-5% CONTRATOS DE OBRA PÚBLICA "/>
    <x v="8"/>
    <x v="5"/>
    <n v="290015"/>
    <x v="13"/>
    <n v="223260738"/>
    <n v="223260738"/>
    <n v="446521476"/>
    <n v="549304130"/>
    <n v="102782654"/>
    <n v="216757998"/>
    <n v="210444658"/>
    <n v="427202656"/>
    <n v="529985310"/>
    <x v="0"/>
    <d v="2025-04-16T00:00:00"/>
  </r>
  <r>
    <x v="2"/>
    <s v="Ejecutar al, 100, %, la prestación de servicios de seguridad convivencia y justicia garantizando la operación y gestión de la estructura organizacional"/>
    <s v="Realizar el 100 Porciento del servicio de mantenimiento locativo y dotación (infraestructura) de las sedes al servicio de la SDSCJ."/>
    <s v="O23202020088715701- Servicio de mantenimiento y reparación de ascensores"/>
    <s v=" 1-100-F001_ VA-RECURSOS DISTRITO "/>
    <x v="8"/>
    <x v="5"/>
    <n v="314029"/>
    <x v="14"/>
    <n v="172170964"/>
    <n v="172170964"/>
    <n v="344341928"/>
    <n v="423604357"/>
    <n v="79262429"/>
    <n v="167156276"/>
    <n v="162287646"/>
    <n v="329443922"/>
    <n v="408706351"/>
    <x v="0"/>
    <d v="2025-04-16T00:00:00"/>
  </r>
  <r>
    <x v="2"/>
    <s v="Ejecutar al, 100, %, la prestación de servicios de seguridad convivencia y justicia garantizando la operación y gestión de la estructura organizacional"/>
    <s v="Realizar el 100 Porciento del servicio de mantenimiento locativo y dotación (infraestructura) de las sedes al servicio de la SDSCJ."/>
    <s v="O2320202005040154129_Servicios generales de construcción de otros edificios no residenciales."/>
    <s v="1-100-F001_ VA-RECURSOS DISTRITO"/>
    <x v="9"/>
    <x v="6"/>
    <n v="314027"/>
    <x v="15"/>
    <n v="1756312476"/>
    <n v="1809001848.4000001"/>
    <n v="3565314324.4000001"/>
    <n v="4417893198.3999996"/>
    <n v="852578874"/>
    <n v="1705157744"/>
    <n v="1705157742"/>
    <n v="3410315486"/>
    <n v="4262894360"/>
    <x v="0"/>
    <d v="2025-04-16T00:00:00"/>
  </r>
  <r>
    <x v="2"/>
    <s v="Ejecutar al, 100, %, la prestación de servicios de seguridad convivencia y justicia garantizando la operación y gestión de la estructura organizacional"/>
    <s v="Realizar el 100 Porciento del servicio de mantenimiento locativo y dotación (infraestructura) de las sedes al servicio de la SDSCJ."/>
    <s v="O2320202005040254290_Servicios generales de construcción de otras obras de ingeniería civil"/>
    <s v="1-100-F001_ VA-RECURSOS DISTRITO"/>
    <x v="10"/>
    <x v="6"/>
    <n v="314028"/>
    <x v="16"/>
    <n v="340691080.5"/>
    <n v="319825067.60000002"/>
    <n v="660516148.10000002"/>
    <n v="839399706.10000002"/>
    <n v="178883558"/>
    <n v="330768039"/>
    <n v="301465800"/>
    <n v="632233839"/>
    <n v="811117397"/>
    <x v="0"/>
    <d v="2025-04-16T00:00:00"/>
  </r>
  <r>
    <x v="2"/>
    <s v="Ejecutar al, 100, %, la prestación de servicios de seguridad convivencia y justicia garantizando la operación y gestión de la estructura organizacional"/>
    <s v="Proveer el 100 Porciento de los servicios administrativos necesarios para la operación y funcionamiento de la entidad con debida oportunidad"/>
    <s v="O232020200885250- Servicios de protección (guardas de seguridad)"/>
    <s v="1-100-F001_ VA-RECURSOS DISTRITO"/>
    <x v="11"/>
    <x v="7"/>
    <n v="314038"/>
    <x v="17"/>
    <n v="13782036055"/>
    <n v="15340190128"/>
    <n v="29122226183"/>
    <n v="36406775577"/>
    <n v="7284549394"/>
    <n v="13380617529"/>
    <n v="14459600460"/>
    <n v="27840217989"/>
    <n v="35124767383"/>
    <x v="0"/>
    <d v="2025-04-16T00:00:00"/>
  </r>
  <r>
    <x v="3"/>
    <s v="N/A"/>
    <s v="N/A"/>
    <s v="O21202020080585250_Servicios de protección (guardas de seguridad) "/>
    <s v="1-100-F001_ VA-RECURSOS DISTRITO"/>
    <x v="11"/>
    <x v="7"/>
    <s v="No Aplica"/>
    <x v="18"/>
    <n v="1809512732"/>
    <n v="2014090605"/>
    <n v="3823603337"/>
    <n v="4780028413"/>
    <n v="956425076"/>
    <n v="1756808478"/>
    <n v="1898473565"/>
    <n v="3655282043"/>
    <n v="4611707119"/>
    <x v="0"/>
    <d v="2025-04-16T00:00:00"/>
  </r>
  <r>
    <x v="2"/>
    <s v="Ejecutar al, 100, %, la prestación de servicios de seguridad convivencia y justicia garantizando la operación y gestión de la estructura organizacional"/>
    <s v="Proveer el 100 Porciento de los servicios administrativos necesarios para la operación y funcionamiento de la entidad con debida oportunidad"/>
    <s v="O232020200664112_Servicios de transporte terrestre local regular de pasajeros "/>
    <s v="1-100-F001_ VA-RECURSOS DISTRITO"/>
    <x v="12"/>
    <x v="8"/>
    <n v="314018"/>
    <x v="19"/>
    <n v="5658750528"/>
    <n v="6196331827"/>
    <n v="11855082355"/>
    <n v="14869637433"/>
    <n v="3014555078"/>
    <n v="5493932551"/>
    <n v="5840637032"/>
    <n v="11334569583"/>
    <n v="14349124661"/>
    <x v="0"/>
    <d v="2025-04-16T00:00:00"/>
  </r>
  <r>
    <x v="4"/>
    <s v="N/A"/>
    <s v="N/A"/>
    <s v="O21202020060464114_Servicios de transporte terrestre especial local de pasajeros"/>
    <s v="1-100-F001_ VA-RECURSOS DISTRITO"/>
    <x v="12"/>
    <x v="8"/>
    <s v="No Aplica"/>
    <x v="20"/>
    <n v="1941166320"/>
    <n v="2125577129"/>
    <n v="4066743449"/>
    <n v="5100850317"/>
    <n v="1034106868"/>
    <n v="1884627495"/>
    <n v="2003560306"/>
    <n v="3888187801"/>
    <n v="4922294669"/>
    <x v="0"/>
    <d v="2025-04-16T00:00:00"/>
  </r>
  <r>
    <x v="5"/>
    <s v="Desarrollar 1 Plan(es) de modernización del C4 para mejorar la respuesta distrital a la demanda de servicios de los ciudadanos"/>
    <s v="Realizar el 100 Porciento del mantenimiento de los componentes tecnológicos existentes"/>
    <s v="O23202020088715999_Servicio de mantenimiento y reparación de otros equipos n.c.p."/>
    <s v="1-100-F001_ VA-RECURSOS DISTRITO"/>
    <x v="13"/>
    <x v="9"/>
    <n v="296011"/>
    <x v="21"/>
    <n v="7638480000"/>
    <n v="7867634400"/>
    <n v="15506114400"/>
    <n v="20450114400"/>
    <n v="4944000000"/>
    <n v="7416000000"/>
    <n v="7416000000"/>
    <n v="14832000000"/>
    <n v="19776000000"/>
    <x v="0"/>
    <d v="2025-04-16T00:00:00"/>
  </r>
  <r>
    <x v="2"/>
    <s v="Ejecutar al, 100, %, la prestación de servicios de seguridad convivencia y justicia garantizando la operación y gestión de la estructura organizacional"/>
    <s v="Proveer el 100 Porciento de los servicios administrativos necesarios para la operación y funcionamiento de la entidad con debida oportunidad"/>
    <s v="O232020200885961_Servicios de organización y asistencia de convenciones"/>
    <s v="1-100-F001_ VA-RECURSOS DISTRITO"/>
    <x v="14"/>
    <x v="10"/>
    <n v="314048"/>
    <x v="22"/>
    <n v="1055408243"/>
    <n v="1087070490"/>
    <n v="2142478733"/>
    <n v="2831453264"/>
    <n v="688974531"/>
    <n v="1024668197"/>
    <n v="1024668197"/>
    <n v="2049336394"/>
    <n v="2738310925"/>
    <x v="0"/>
    <d v="2025-04-16T00:00:00"/>
  </r>
  <r>
    <x v="6"/>
    <s v="N/A"/>
    <s v="N/A"/>
    <s v="O21202020080585961 Servicios de organización y asistencia de convenciones"/>
    <s v="1-100-F001_ VA-RECURSOS DISTRITO"/>
    <x v="14"/>
    <x v="10"/>
    <s v="No Aplica"/>
    <x v="23"/>
    <n v="205881149"/>
    <n v="212057583"/>
    <n v="417938732"/>
    <n v="552338732"/>
    <n v="134400000"/>
    <n v="199884611"/>
    <n v="199884610"/>
    <n v="399769221"/>
    <n v="534169221"/>
    <x v="0"/>
    <d v="2025-04-16T00:00:00"/>
  </r>
  <r>
    <x v="2"/>
    <s v="Ejecutar al, 100, %, la prestación de servicios de seguridad convivencia y justicia garantizando la operación y gestión de la estructura organizacional"/>
    <s v="Desarrollar el 100 Porciento de la estrategia para mejorar la oportunidad y calidad de la información institucional en los sistemas de información y servicios ciudadanos digitales de la Entidad."/>
    <s v="O232020200883159_Otros servicios de alojamiento y suministro de infraestructura en tecnología de la información (TI) "/>
    <s v="1-100-F001_ VA-RECURSOS DISTRITO"/>
    <x v="15"/>
    <x v="11"/>
    <n v="31039"/>
    <x v="24"/>
    <n v="3236279481"/>
    <n v="3224136409"/>
    <n v="6460415890"/>
    <n v="7429525995"/>
    <n v="969110105"/>
    <n v="3142018914"/>
    <n v="3039057790"/>
    <n v="6181076704"/>
    <n v="7150186809"/>
    <x v="0"/>
    <d v="2025-04-16T00:00:00"/>
  </r>
  <r>
    <x v="0"/>
    <s v="Implementar 1 Plan(es) de atención y descongestión carcelaria que incluya la implementación de mecanismos de justicia restaurativa atención integral a PPL y atención a la población pospenada"/>
    <s v="Garantizar al 100 Porciento de la población Privada de la libertad sus condiciones de vida digna y respeto a los derechos humanos en los establecimientos carcelarios y centros de detención"/>
    <s v="O232020200991122_Servicios de la administración pública relacionados con la salud "/>
    <s v="1-100-F001_ VA-RECURSOS DISTRITO"/>
    <x v="16"/>
    <x v="12"/>
    <n v="305015"/>
    <x v="25"/>
    <n v="2536112256"/>
    <n v="2690561496"/>
    <n v="5226673752"/>
    <n v="6594587592"/>
    <n v="1367913840"/>
    <n v="2462244909"/>
    <n v="2536112259"/>
    <n v="4998357168"/>
    <n v="6366271008"/>
    <x v="0"/>
    <d v="2025-04-16T00:00:00"/>
  </r>
  <r>
    <x v="7"/>
    <s v="Aplicar 1 Modelo(s) de fortalecimiento a las capacidades operativas de vigilancia policial funciones militares y otras de apoyo a la seguridad la convivencia y la justicia"/>
    <s v="2 - Desarrollar 1 Plan(es) para organismos de seguridad y justicia"/>
    <s v="O232020200772112_Servicios de alquiler o arrendamiento con o sin opción de compra, relativos a bienes inmuebles no residenciales (diferentes a vivienda), propios o arrendados "/>
    <s v="1-100-I015_ VA-5% CONTRATOS DE OBRA PÚBLICA "/>
    <x v="17"/>
    <x v="13"/>
    <n v="290011"/>
    <x v="26"/>
    <n v="1015954272"/>
    <n v="1068783894"/>
    <n v="2084738166"/>
    <n v="2578336566"/>
    <n v="493598400"/>
    <n v="986363371"/>
    <n v="1007431326"/>
    <n v="1993794697"/>
    <n v="2487393097"/>
    <x v="0"/>
    <d v="2025-05-16T00:00:00"/>
  </r>
  <r>
    <x v="7"/>
    <s v="Aplicar 1 Modelo(s) de fortalecimiento a las capacidades operativas de vigilancia policial funciones militares y otras de apoyo a la seguridad la convivencia y la justicia"/>
    <s v="2 - Desarrollar 1 Plan(es) para organismos de seguridad y justicia"/>
    <s v="O232020200772112_Servicios de alquiler o arrendamiento con o sin opción de compra, relativos a bienes inmuebles no residenciales (diferentes a vivienda), propios o arrendados "/>
    <s v="1-100-I015_ VA-5% CONTRATOS DE OBRA PÚBLICA "/>
    <x v="18"/>
    <x v="13"/>
    <n v="290011"/>
    <x v="27"/>
    <n v="225140367"/>
    <n v="236847666"/>
    <n v="461988033"/>
    <n v="557698846"/>
    <n v="95710813"/>
    <n v="218582881"/>
    <n v="223251641"/>
    <n v="441834522"/>
    <n v="537545335"/>
    <x v="0"/>
    <d v="2025-05-16T00:00:00"/>
  </r>
  <r>
    <x v="7"/>
    <s v="Aplicar 1 Modelo(s) de fortalecimiento a las capacidades operativas de vigilancia policial funciones militares y otras de apoyo a la seguridad la convivencia y la justicia"/>
    <s v="2 - Desarrollar 1 Plan(es) para organismos de seguridad y justicia"/>
    <s v="O232020200772112_Servicios de alquiler o arrendamiento con o sin opción de compra, relativos a bienes inmuebles no residenciales (diferentes a vivienda), propios o arrendados "/>
    <s v="1-100-I015_ VA-5% CONTRATOS DE OBRA PÚBLICA "/>
    <x v="19"/>
    <x v="13"/>
    <n v="290011"/>
    <x v="28"/>
    <n v="15686865"/>
    <n v="16502582"/>
    <n v="32189447"/>
    <n v="40722121"/>
    <n v="8532674"/>
    <n v="15229966"/>
    <n v="15555266"/>
    <n v="30785232"/>
    <n v="39317906"/>
    <x v="0"/>
    <d v="2025-05-16T00:00:00"/>
  </r>
  <r>
    <x v="8"/>
    <s v="Implementar 1 Modelo(s) integrado para la gestión de la convivencia y seguridad en los territorios"/>
    <s v="2 - Construir e implementar 1 Modelo(s) de atención territorial a conflictividades relacionadas con el uso y disfrute del espacio públic"/>
    <s v="O232020200991119_Otros servicios de la administración pública n.c.p."/>
    <s v="1-100-F001_ VA-RECURSOS DISTRITO "/>
    <x v="20"/>
    <x v="14"/>
    <n v="312001"/>
    <x v="29"/>
    <n v="2170000000"/>
    <m/>
    <n v="2170000000"/>
    <n v="2635000000"/>
    <n v="465000000"/>
    <n v="2106796117"/>
    <m/>
    <n v="2106796117"/>
    <n v="2571796117"/>
    <x v="0"/>
    <d v="2025-06-18T00:00:00"/>
  </r>
  <r>
    <x v="9"/>
    <s v="N/A"/>
    <s v="N/A"/>
    <s v="O21202020080484150 Servicios de transmisión de datos"/>
    <s v="1-100-F001_ VA-RECURSOS DISTRITO "/>
    <x v="21"/>
    <x v="15"/>
    <s v="No Aplica"/>
    <x v="30"/>
    <n v="2646251418"/>
    <m/>
    <n v="2646251418"/>
    <n v="3401223777"/>
    <n v="754972359"/>
    <n v="2565440056"/>
    <m/>
    <n v="2565440056"/>
    <n v="3320412415"/>
    <x v="1"/>
    <m/>
  </r>
  <r>
    <x v="1"/>
    <s v="Aplicar 1 Modelo(s) de fortalecimiento a las capacidades operativas de vigilancia policial funciones militares y otras de apoyo a la seguridad la convivencia y la justicia"/>
    <s v="4 - Desarrollar 1 Plan(es) de mejoramiento de los organismos de seguridad con énfasis en tecnología, para proyectar su crecimiento y avanzar hacia la anticipación y la respuesta oportuna y efectiva a incidentes complejos o de alto impacto"/>
    <s v="O232020200884290_Otros servicios de telecomunicaciones vía Internet"/>
    <s v="1-100-I015_ VA-5% CONTRATOS DE OBRA PÚBLICA "/>
    <x v="21"/>
    <x v="15"/>
    <n v="290038"/>
    <x v="31"/>
    <n v="2641391001"/>
    <m/>
    <n v="2641391001"/>
    <n v="3478708434"/>
    <n v="837317433"/>
    <n v="2560728067"/>
    <m/>
    <n v="2560728067"/>
    <n v="3398045500"/>
    <x v="1"/>
    <m/>
  </r>
  <r>
    <x v="10"/>
    <s v="Desarrollar 1 Plan(es) de modernización del C4 para mejorar la respuesta distrital a la demanda de servicios de los ciudadanos"/>
    <m/>
    <s v="O232020200884290_Otros servicios de telecomunicaciones vía Internet"/>
    <s v="1-100-F001_ VA-RECURSOS DISTRITO "/>
    <x v="21"/>
    <x v="15"/>
    <n v="296003"/>
    <x v="32"/>
    <n v="52100764563"/>
    <m/>
    <n v="52100764563"/>
    <n v="68625764563"/>
    <n v="16525000000"/>
    <n v="50509708738"/>
    <m/>
    <n v="50509708738"/>
    <n v="67034708738"/>
    <x v="1"/>
    <m/>
  </r>
  <r>
    <x v="10"/>
    <s v="Desarrollar 1 Plan(es) de modernización del C4 para mejorar la respuesta distrital a la demanda de servicios de los ciudadanos"/>
    <m/>
    <s v="O232020200884290_Otros servicios de telecomunicaciones vía Internet"/>
    <s v="1-100-F001_ VA-RECURSOS DISTRITO "/>
    <x v="22"/>
    <x v="15"/>
    <n v="296003"/>
    <x v="33"/>
    <n v="1168144758"/>
    <m/>
    <n v="1168144758"/>
    <n v="1471117758"/>
    <n v="302973000"/>
    <n v="1132471893"/>
    <m/>
    <n v="1132471893"/>
    <n v="1435444893"/>
    <x v="1"/>
    <m/>
  </r>
  <r>
    <x v="7"/>
    <s v="Aplicar 1 Modelo(s) de fortalecimiento a las capacidades operativas de vigilancia policial funciones militares y otras de apoyo a la seguridad la convivencia y la justicia"/>
    <s v="3- Desarrollar 1 Estrategia(s) de dotación a los organismos de seguridad y justicia"/>
    <s v="O232020200663393_Otros servicios de comidas contratadas"/>
    <s v="1-100-I015_ VA-5% CONTRATOS DE OBRA PÚBLICA"/>
    <x v="23"/>
    <x v="16"/>
    <n v="290025"/>
    <x v="34"/>
    <n v="5981850000"/>
    <m/>
    <n v="5981850000"/>
    <n v="8284582674"/>
    <n v="2302732674"/>
    <n v="5799175957"/>
    <m/>
    <n v="5799175957"/>
    <n v="8101908631"/>
    <x v="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75DAE5B-B3B9-4E39-AB8E-2127C2B70A3D}" name="TablaDinámica1"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5:F22" firstHeaderRow="0" firstDataRow="1" firstDataCol="1" rowPageCount="2" colPageCount="1"/>
  <pivotFields count="20">
    <pivotField axis="axisPage" multipleItemSelectionAllowed="1" showAll="0">
      <items count="12">
        <item x="1"/>
        <item x="7"/>
        <item x="5"/>
        <item x="10"/>
        <item x="0"/>
        <item x="8"/>
        <item x="2"/>
        <item x="4"/>
        <item x="9"/>
        <item x="3"/>
        <item x="6"/>
        <item t="default"/>
      </items>
    </pivotField>
    <pivotField showAll="0"/>
    <pivotField showAll="0"/>
    <pivotField showAll="0"/>
    <pivotField showAll="0"/>
    <pivotField axis="axisRow" showAll="0">
      <items count="25">
        <item x="18"/>
        <item x="19"/>
        <item x="17"/>
        <item x="22"/>
        <item x="14"/>
        <item x="2"/>
        <item x="4"/>
        <item x="10"/>
        <item x="9"/>
        <item x="13"/>
        <item x="16"/>
        <item x="11"/>
        <item x="0"/>
        <item x="12"/>
        <item x="21"/>
        <item x="15"/>
        <item x="20"/>
        <item x="1"/>
        <item x="8"/>
        <item x="3"/>
        <item x="6"/>
        <item x="7"/>
        <item x="23"/>
        <item x="5"/>
        <item t="default"/>
      </items>
    </pivotField>
    <pivotField axis="axisRow" showAll="0">
      <items count="18">
        <item sd="0" x="0"/>
        <item sd="0" x="1"/>
        <item sd="0" x="2"/>
        <item sd="0" x="3"/>
        <item sd="0" x="4"/>
        <item sd="0" x="5"/>
        <item sd="0" x="6"/>
        <item sd="0" x="7"/>
        <item sd="0" x="8"/>
        <item sd="0" x="9"/>
        <item sd="0" x="10"/>
        <item sd="0" x="11"/>
        <item sd="0" x="12"/>
        <item sd="0" x="13"/>
        <item sd="0" x="14"/>
        <item sd="0" x="15"/>
        <item sd="0" x="16"/>
        <item t="default" sd="0"/>
      </items>
    </pivotField>
    <pivotField showAll="0"/>
    <pivotField dataField="1" numFmtId="3" showAll="0">
      <items count="36">
        <item x="28"/>
        <item x="7"/>
        <item x="4"/>
        <item x="14"/>
        <item x="27"/>
        <item x="13"/>
        <item x="23"/>
        <item x="12"/>
        <item x="16"/>
        <item x="3"/>
        <item x="6"/>
        <item x="2"/>
        <item x="33"/>
        <item x="11"/>
        <item x="29"/>
        <item x="26"/>
        <item x="22"/>
        <item x="30"/>
        <item x="31"/>
        <item x="15"/>
        <item x="18"/>
        <item x="24"/>
        <item x="20"/>
        <item x="25"/>
        <item x="5"/>
        <item x="10"/>
        <item x="34"/>
        <item x="19"/>
        <item x="1"/>
        <item x="21"/>
        <item x="9"/>
        <item x="17"/>
        <item x="8"/>
        <item x="0"/>
        <item x="32"/>
        <item t="default"/>
      </items>
    </pivotField>
    <pivotField dataField="1" numFmtId="3" showAll="0"/>
    <pivotField dataField="1" showAll="0"/>
    <pivotField dataField="1" numFmtId="3" showAll="0"/>
    <pivotField dataField="1" numFmtId="3" showAll="0"/>
    <pivotField showAll="0"/>
    <pivotField numFmtId="3" showAll="0"/>
    <pivotField showAll="0"/>
    <pivotField numFmtId="3" showAll="0"/>
    <pivotField numFmtId="3" showAll="0"/>
    <pivotField axis="axisPage" multipleItemSelectionAllowed="1" showAll="0">
      <items count="4">
        <item x="0"/>
        <item h="1" x="2"/>
        <item x="1"/>
        <item t="default"/>
      </items>
    </pivotField>
    <pivotField showAll="0"/>
  </pivotFields>
  <rowFields count="2">
    <field x="6"/>
    <field x="5"/>
  </rowFields>
  <rowItems count="17">
    <i>
      <x/>
    </i>
    <i>
      <x v="1"/>
    </i>
    <i>
      <x v="2"/>
    </i>
    <i>
      <x v="3"/>
    </i>
    <i>
      <x v="4"/>
    </i>
    <i>
      <x v="5"/>
    </i>
    <i>
      <x v="6"/>
    </i>
    <i>
      <x v="7"/>
    </i>
    <i>
      <x v="8"/>
    </i>
    <i>
      <x v="9"/>
    </i>
    <i>
      <x v="10"/>
    </i>
    <i>
      <x v="11"/>
    </i>
    <i>
      <x v="12"/>
    </i>
    <i>
      <x v="13"/>
    </i>
    <i>
      <x v="14"/>
    </i>
    <i>
      <x v="15"/>
    </i>
    <i t="grand">
      <x/>
    </i>
  </rowItems>
  <colFields count="1">
    <field x="-2"/>
  </colFields>
  <colItems count="5">
    <i>
      <x/>
    </i>
    <i i="1">
      <x v="1"/>
    </i>
    <i i="2">
      <x v="2"/>
    </i>
    <i i="3">
      <x v="3"/>
    </i>
    <i i="4">
      <x v="4"/>
    </i>
  </colItems>
  <pageFields count="2">
    <pageField fld="18" hier="-1"/>
    <pageField fld="0" hier="-1"/>
  </pageFields>
  <dataFields count="5">
    <dataField name="Suma de Recursos disponibles 2025" fld="8" baseField="0" baseItem="0" numFmtId="3"/>
    <dataField name="Suma de Recursos vigencia futura 2026" fld="9" baseField="0" baseItem="0" numFmtId="3"/>
    <dataField name="Suma de Recursos vigencia futura 2027" fld="10" baseField="0" baseItem="0"/>
    <dataField name="Suma de TOTAL CORRIENTES" fld="11" baseField="0" baseItem="0" numFmtId="3"/>
    <dataField name="Suma de VALOR TOTAL CONTRATO CORRIENTES" fld="12" baseField="0" baseItem="0" numFmtId="3"/>
  </dataFields>
  <formats count="40">
    <format dxfId="124">
      <pivotArea outline="0" collapsedLevelsAreSubtotals="1" fieldPosition="0"/>
    </format>
    <format dxfId="123">
      <pivotArea dataOnly="0" labelOnly="1" fieldPosition="0">
        <references count="1">
          <reference field="6" count="15">
            <x v="1"/>
            <x v="2"/>
            <x v="3"/>
            <x v="4"/>
            <x v="5"/>
            <x v="6"/>
            <x v="7"/>
            <x v="8"/>
            <x v="9"/>
            <x v="10"/>
            <x v="11"/>
            <x v="12"/>
            <x v="13"/>
            <x v="14"/>
            <x v="15"/>
          </reference>
        </references>
      </pivotArea>
    </format>
    <format dxfId="122">
      <pivotArea dataOnly="0" labelOnly="1" fieldPosition="0">
        <references count="2">
          <reference field="5" count="1">
            <x v="12"/>
          </reference>
          <reference field="6" count="1" selected="0">
            <x v="0"/>
          </reference>
        </references>
      </pivotArea>
    </format>
    <format dxfId="121">
      <pivotArea dataOnly="0" labelOnly="1" fieldPosition="0">
        <references count="2">
          <reference field="5" count="2">
            <x v="5"/>
            <x v="17"/>
          </reference>
          <reference field="6" count="1" selected="0">
            <x v="1"/>
          </reference>
        </references>
      </pivotArea>
    </format>
    <format dxfId="120">
      <pivotArea dataOnly="0" labelOnly="1" fieldPosition="0">
        <references count="2">
          <reference field="5" count="2">
            <x v="6"/>
            <x v="19"/>
          </reference>
          <reference field="6" count="1" selected="0">
            <x v="2"/>
          </reference>
        </references>
      </pivotArea>
    </format>
    <format dxfId="119">
      <pivotArea dataOnly="0" labelOnly="1" fieldPosition="0">
        <references count="2">
          <reference field="5" count="1">
            <x v="23"/>
          </reference>
          <reference field="6" count="1" selected="0">
            <x v="3"/>
          </reference>
        </references>
      </pivotArea>
    </format>
    <format dxfId="118">
      <pivotArea dataOnly="0" labelOnly="1" fieldPosition="0">
        <references count="2">
          <reference field="5" count="2">
            <x v="20"/>
            <x v="21"/>
          </reference>
          <reference field="6" count="1" selected="0">
            <x v="4"/>
          </reference>
        </references>
      </pivotArea>
    </format>
    <format dxfId="117">
      <pivotArea dataOnly="0" labelOnly="1" fieldPosition="0">
        <references count="2">
          <reference field="5" count="1">
            <x v="18"/>
          </reference>
          <reference field="6" count="1" selected="0">
            <x v="5"/>
          </reference>
        </references>
      </pivotArea>
    </format>
    <format dxfId="116">
      <pivotArea dataOnly="0" labelOnly="1" fieldPosition="0">
        <references count="2">
          <reference field="5" count="2">
            <x v="7"/>
            <x v="8"/>
          </reference>
          <reference field="6" count="1" selected="0">
            <x v="6"/>
          </reference>
        </references>
      </pivotArea>
    </format>
    <format dxfId="115">
      <pivotArea dataOnly="0" labelOnly="1" fieldPosition="0">
        <references count="2">
          <reference field="5" count="1">
            <x v="11"/>
          </reference>
          <reference field="6" count="1" selected="0">
            <x v="7"/>
          </reference>
        </references>
      </pivotArea>
    </format>
    <format dxfId="114">
      <pivotArea dataOnly="0" labelOnly="1" fieldPosition="0">
        <references count="2">
          <reference field="5" count="1">
            <x v="13"/>
          </reference>
          <reference field="6" count="1" selected="0">
            <x v="8"/>
          </reference>
        </references>
      </pivotArea>
    </format>
    <format dxfId="113">
      <pivotArea dataOnly="0" labelOnly="1" fieldPosition="0">
        <references count="2">
          <reference field="5" count="1">
            <x v="9"/>
          </reference>
          <reference field="6" count="1" selected="0">
            <x v="9"/>
          </reference>
        </references>
      </pivotArea>
    </format>
    <format dxfId="112">
      <pivotArea dataOnly="0" labelOnly="1" fieldPosition="0">
        <references count="2">
          <reference field="5" count="1">
            <x v="4"/>
          </reference>
          <reference field="6" count="1" selected="0">
            <x v="10"/>
          </reference>
        </references>
      </pivotArea>
    </format>
    <format dxfId="111">
      <pivotArea dataOnly="0" labelOnly="1" fieldPosition="0">
        <references count="2">
          <reference field="5" count="1">
            <x v="15"/>
          </reference>
          <reference field="6" count="1" selected="0">
            <x v="11"/>
          </reference>
        </references>
      </pivotArea>
    </format>
    <format dxfId="110">
      <pivotArea dataOnly="0" labelOnly="1" fieldPosition="0">
        <references count="2">
          <reference field="5" count="1">
            <x v="10"/>
          </reference>
          <reference field="6" count="1" selected="0">
            <x v="12"/>
          </reference>
        </references>
      </pivotArea>
    </format>
    <format dxfId="109">
      <pivotArea dataOnly="0" labelOnly="1" fieldPosition="0">
        <references count="2">
          <reference field="5" count="3">
            <x v="0"/>
            <x v="1"/>
            <x v="2"/>
          </reference>
          <reference field="6" count="1" selected="0">
            <x v="13"/>
          </reference>
        </references>
      </pivotArea>
    </format>
    <format dxfId="108">
      <pivotArea dataOnly="0" labelOnly="1" fieldPosition="0">
        <references count="2">
          <reference field="5" count="1">
            <x v="16"/>
          </reference>
          <reference field="6" count="1" selected="0">
            <x v="14"/>
          </reference>
        </references>
      </pivotArea>
    </format>
    <format dxfId="107">
      <pivotArea dataOnly="0" labelOnly="1" fieldPosition="0">
        <references count="2">
          <reference field="5" count="2">
            <x v="3"/>
            <x v="14"/>
          </reference>
          <reference field="6" count="1" selected="0">
            <x v="15"/>
          </reference>
        </references>
      </pivotArea>
    </format>
    <format dxfId="106">
      <pivotArea dataOnly="0" labelOnly="1" fieldPosition="0">
        <references count="1">
          <reference field="6" count="16">
            <x v="0"/>
            <x v="1"/>
            <x v="2"/>
            <x v="3"/>
            <x v="4"/>
            <x v="5"/>
            <x v="6"/>
            <x v="7"/>
            <x v="8"/>
            <x v="9"/>
            <x v="10"/>
            <x v="11"/>
            <x v="12"/>
            <x v="13"/>
            <x v="14"/>
            <x v="15"/>
          </reference>
        </references>
      </pivotArea>
    </format>
    <format dxfId="105">
      <pivotArea dataOnly="0" labelOnly="1" fieldPosition="0">
        <references count="2">
          <reference field="5" count="1">
            <x v="12"/>
          </reference>
          <reference field="6" count="1" selected="0">
            <x v="0"/>
          </reference>
        </references>
      </pivotArea>
    </format>
    <format dxfId="104">
      <pivotArea dataOnly="0" labelOnly="1" fieldPosition="0">
        <references count="2">
          <reference field="5" count="2">
            <x v="5"/>
            <x v="17"/>
          </reference>
          <reference field="6" count="1" selected="0">
            <x v="1"/>
          </reference>
        </references>
      </pivotArea>
    </format>
    <format dxfId="103">
      <pivotArea dataOnly="0" labelOnly="1" fieldPosition="0">
        <references count="2">
          <reference field="5" count="2">
            <x v="6"/>
            <x v="19"/>
          </reference>
          <reference field="6" count="1" selected="0">
            <x v="2"/>
          </reference>
        </references>
      </pivotArea>
    </format>
    <format dxfId="102">
      <pivotArea dataOnly="0" labelOnly="1" fieldPosition="0">
        <references count="2">
          <reference field="5" count="1">
            <x v="23"/>
          </reference>
          <reference field="6" count="1" selected="0">
            <x v="3"/>
          </reference>
        </references>
      </pivotArea>
    </format>
    <format dxfId="101">
      <pivotArea dataOnly="0" labelOnly="1" fieldPosition="0">
        <references count="2">
          <reference field="5" count="2">
            <x v="20"/>
            <x v="21"/>
          </reference>
          <reference field="6" count="1" selected="0">
            <x v="4"/>
          </reference>
        </references>
      </pivotArea>
    </format>
    <format dxfId="100">
      <pivotArea dataOnly="0" labelOnly="1" fieldPosition="0">
        <references count="2">
          <reference field="5" count="1">
            <x v="18"/>
          </reference>
          <reference field="6" count="1" selected="0">
            <x v="5"/>
          </reference>
        </references>
      </pivotArea>
    </format>
    <format dxfId="99">
      <pivotArea dataOnly="0" labelOnly="1" fieldPosition="0">
        <references count="2">
          <reference field="5" count="2">
            <x v="7"/>
            <x v="8"/>
          </reference>
          <reference field="6" count="1" selected="0">
            <x v="6"/>
          </reference>
        </references>
      </pivotArea>
    </format>
    <format dxfId="98">
      <pivotArea dataOnly="0" labelOnly="1" fieldPosition="0">
        <references count="2">
          <reference field="5" count="1">
            <x v="11"/>
          </reference>
          <reference field="6" count="1" selected="0">
            <x v="7"/>
          </reference>
        </references>
      </pivotArea>
    </format>
    <format dxfId="97">
      <pivotArea dataOnly="0" labelOnly="1" fieldPosition="0">
        <references count="2">
          <reference field="5" count="1">
            <x v="13"/>
          </reference>
          <reference field="6" count="1" selected="0">
            <x v="8"/>
          </reference>
        </references>
      </pivotArea>
    </format>
    <format dxfId="96">
      <pivotArea dataOnly="0" labelOnly="1" fieldPosition="0">
        <references count="2">
          <reference field="5" count="1">
            <x v="9"/>
          </reference>
          <reference field="6" count="1" selected="0">
            <x v="9"/>
          </reference>
        </references>
      </pivotArea>
    </format>
    <format dxfId="95">
      <pivotArea dataOnly="0" labelOnly="1" fieldPosition="0">
        <references count="2">
          <reference field="5" count="1">
            <x v="4"/>
          </reference>
          <reference field="6" count="1" selected="0">
            <x v="10"/>
          </reference>
        </references>
      </pivotArea>
    </format>
    <format dxfId="94">
      <pivotArea dataOnly="0" labelOnly="1" fieldPosition="0">
        <references count="2">
          <reference field="5" count="1">
            <x v="15"/>
          </reference>
          <reference field="6" count="1" selected="0">
            <x v="11"/>
          </reference>
        </references>
      </pivotArea>
    </format>
    <format dxfId="93">
      <pivotArea dataOnly="0" labelOnly="1" fieldPosition="0">
        <references count="2">
          <reference field="5" count="1">
            <x v="10"/>
          </reference>
          <reference field="6" count="1" selected="0">
            <x v="12"/>
          </reference>
        </references>
      </pivotArea>
    </format>
    <format dxfId="92">
      <pivotArea dataOnly="0" labelOnly="1" fieldPosition="0">
        <references count="2">
          <reference field="5" count="3">
            <x v="0"/>
            <x v="1"/>
            <x v="2"/>
          </reference>
          <reference field="6" count="1" selected="0">
            <x v="13"/>
          </reference>
        </references>
      </pivotArea>
    </format>
    <format dxfId="91">
      <pivotArea dataOnly="0" labelOnly="1" fieldPosition="0">
        <references count="2">
          <reference field="5" count="1">
            <x v="16"/>
          </reference>
          <reference field="6" count="1" selected="0">
            <x v="14"/>
          </reference>
        </references>
      </pivotArea>
    </format>
    <format dxfId="90">
      <pivotArea dataOnly="0" labelOnly="1" fieldPosition="0">
        <references count="2">
          <reference field="5" count="2">
            <x v="3"/>
            <x v="14"/>
          </reference>
          <reference field="6" count="1" selected="0">
            <x v="15"/>
          </reference>
        </references>
      </pivotArea>
    </format>
    <format dxfId="89">
      <pivotArea field="6" type="button" dataOnly="0" labelOnly="1" outline="0" axis="axisRow" fieldPosition="0"/>
    </format>
    <format dxfId="88">
      <pivotArea dataOnly="0" labelOnly="1" outline="0" fieldPosition="0">
        <references count="1">
          <reference field="4294967294" count="4">
            <x v="0"/>
            <x v="1"/>
            <x v="2"/>
            <x v="3"/>
          </reference>
        </references>
      </pivotArea>
    </format>
    <format dxfId="87">
      <pivotArea dataOnly="0" labelOnly="1" outline="0" fieldPosition="0">
        <references count="1">
          <reference field="4294967294" count="4">
            <x v="0"/>
            <x v="1"/>
            <x v="2"/>
            <x v="3"/>
          </reference>
        </references>
      </pivotArea>
    </format>
    <format dxfId="86">
      <pivotArea dataOnly="0" labelOnly="1" outline="0" fieldPosition="0">
        <references count="1">
          <reference field="4294967294" count="4">
            <x v="0"/>
            <x v="1"/>
            <x v="2"/>
            <x v="3"/>
          </reference>
        </references>
      </pivotArea>
    </format>
    <format dxfId="85">
      <pivotArea dataOnly="0" labelOnly="1" outline="0" fieldPosition="0">
        <references count="1">
          <reference field="4294967294" count="1">
            <x v="4"/>
          </reference>
        </references>
      </pivotArea>
    </format>
  </formats>
  <pivotTableStyleInfo name="PivotStyleLight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D811B1E-8890-4BA2-92F3-14180462799D}" name="VigenciasFuturas34" displayName="VigenciasFuturas34" ref="B2:AB41" totalsRowCount="1" headerRowDxfId="84">
  <autoFilter ref="B2:AB40" xr:uid="{8D811B1E-8890-4BA2-92F3-14180462799D}"/>
  <tableColumns count="27">
    <tableColumn id="1" xr3:uid="{2AE8CBE6-213B-4B7E-A2CB-B3BCD41666CF}" name="Rubro" dataDxfId="83" totalsRowDxfId="82"/>
    <tableColumn id="9" xr3:uid="{5EF15E8C-B8DC-4B09-9A93-B31196FC09D7}" name="META PDD" dataDxfId="81" totalsRowDxfId="80"/>
    <tableColumn id="8" xr3:uid="{6F2BDEFD-3F79-4D56-964D-12CF102D051A}" name="ACT PROYECTO" dataDxfId="79" totalsRowDxfId="78"/>
    <tableColumn id="10" xr3:uid="{75F5E95E-20D6-4364-91A0-EE19E9281BA4}" name="Concepto de Gasto" dataDxfId="77" totalsRowDxfId="76"/>
    <tableColumn id="15" xr3:uid="{3AE1CBCF-10BF-467B-9173-6D2553CC4C21}" name="Fuente" dataDxfId="75" totalsRowDxfId="74"/>
    <tableColumn id="2" xr3:uid="{A34AE240-2A5E-4177-936A-22142EEBF61D}" name="Objeto" dataDxfId="73" totalsRowDxfId="72"/>
    <tableColumn id="6" xr3:uid="{3D4E5AF4-6DCC-45B7-BB2E-7328BE170D70}" name="TEMA" dataDxfId="71" totalsRowDxfId="70"/>
    <tableColumn id="16" xr3:uid="{897852C5-A6C3-449B-B8ED-54453ABAB8C0}" name="Linea de Inversión" dataDxfId="69" totalsRowDxfId="68"/>
    <tableColumn id="3" xr3:uid="{91A6B613-968A-4649-8AF1-9BF7B2FC52A0}" name="Recursos disponibles 2025" totalsRowFunction="custom" dataDxfId="67" totalsRowDxfId="66" dataCellStyle="Moneda">
      <totalsRowFormula>SUBTOTAL(9,VigenciasFuturas34[Recursos disponibles 2025])</totalsRowFormula>
    </tableColumn>
    <tableColumn id="4" xr3:uid="{BC8C277E-D39A-463F-98E8-88BFC6027B69}" name="Recursos vigencia futura 2026" totalsRowFunction="sum" dataDxfId="65" totalsRowDxfId="64" dataCellStyle="Moneda"/>
    <tableColumn id="5" xr3:uid="{18809D38-0B28-47EA-A726-A45B99619EB1}" name="Recursos vigencia futura 2027" totalsRowFunction="sum" dataDxfId="63" totalsRowDxfId="62" dataCellStyle="Moneda"/>
    <tableColumn id="23" xr3:uid="{C3B2DF76-93A2-4CFA-A6F6-4348FDF6E754}" name="Recursos vigencia futura 2028" dataDxfId="61" totalsRowDxfId="60" dataCellStyle="Moneda"/>
    <tableColumn id="7" xr3:uid="{84274FBA-1020-4E4C-935B-3978DF6CF4DD}" name="TOTAL CORRIENTES" totalsRowFunction="sum" dataDxfId="59" totalsRowDxfId="58" dataCellStyle="Moneda">
      <calculatedColumnFormula>SUM(VigenciasFuturas34[[#This Row],[Recursos vigencia futura 2026]:[Recursos vigencia futura 2028]])</calculatedColumnFormula>
    </tableColumn>
    <tableColumn id="17" xr3:uid="{72ED7E15-8F84-4FCA-9FCA-8F5F3BF9542F}" name="VALOR TOTAL CONTRATO CORRIENTES" totalsRowFunction="sum" dataDxfId="57" totalsRowDxfId="56" dataCellStyle="Moneda">
      <calculatedColumnFormula>VigenciasFuturas34[[#This Row],[TOTAL CORRIENTES]]+VigenciasFuturas34[[#This Row],[Recursos disponibles 2025]]</calculatedColumnFormula>
    </tableColumn>
    <tableColumn id="11" xr3:uid="{4EE91537-77B1-4378-9D7B-9DE65C4A960A}" name="2025" totalsRowFunction="sum" dataDxfId="55" totalsRowDxfId="54" dataCellStyle="Moneda"/>
    <tableColumn id="12" xr3:uid="{38F1218B-FDCF-49A8-B871-E6B772A29144}" name="2026" totalsRowFunction="sum" dataDxfId="53" totalsRowDxfId="52" dataCellStyle="Moneda"/>
    <tableColumn id="13" xr3:uid="{3FF8906A-8283-494B-B685-12644FBB7DB8}" name="2027" totalsRowFunction="sum" dataDxfId="51" totalsRowDxfId="50" dataCellStyle="Moneda"/>
    <tableColumn id="24" xr3:uid="{E92127CF-81A5-448A-88B2-B51E05A4374A}" name="2028" dataDxfId="49" totalsRowDxfId="48" dataCellStyle="Moneda"/>
    <tableColumn id="14" xr3:uid="{F8362A30-3DF5-4061-8A82-C929C47DC950}" name="TOTAL CONSTANTES" totalsRowFunction="sum" dataDxfId="47" totalsRowDxfId="46" dataCellStyle="Moneda">
      <calculatedColumnFormula>SUM(VigenciasFuturas34[[#This Row],[2026]:[2028]])</calculatedColumnFormula>
    </tableColumn>
    <tableColumn id="18" xr3:uid="{1529715A-7B3D-43DA-AED8-D126B1892030}" name="VALOR TOTAL CONTRATO CONSTANTES" totalsRowFunction="sum" dataDxfId="45" totalsRowDxfId="44" dataCellStyle="Moneda">
      <calculatedColumnFormula>VigenciasFuturas34[[#This Row],[2025]]+VigenciasFuturas34[[#This Row],[TOTAL CONSTANTES]]</calculatedColumnFormula>
    </tableColumn>
    <tableColumn id="19" xr3:uid="{D0EA0FF8-399E-48EF-B68A-19E2404A3A98}" name="ESTADO" dataDxfId="43" totalsRowDxfId="42" dataCellStyle="Moneda"/>
    <tableColumn id="21" xr3:uid="{51BE5FDD-B12B-43E0-9478-4989650C23D7}" name="Radicado enviado a CONFIS" dataDxfId="41" totalsRowDxfId="40" dataCellStyle="Moneda"/>
    <tableColumn id="20" xr3:uid="{C8C2FEFB-3E1A-4DF4-ABDF-AF6703B75E7F}" name="FECHA DE APROBACIÓN" dataDxfId="39" totalsRowDxfId="38" dataCellStyle="Moneda"/>
    <tableColumn id="22" xr3:uid="{AB19C3BA-C877-4B1D-B273-183B72240640}" name="Radicado de Autorización del Confis"/>
    <tableColumn id="25" xr3:uid="{01823D48-AB23-4212-90F5-E87355CDA4A4}" name="Columna1" dataDxfId="37">
      <calculatedColumnFormula>SUBTOTAL(9,K3:K28)</calculatedColumnFormula>
    </tableColumn>
    <tableColumn id="26" xr3:uid="{DD8B73A0-916E-4AA4-9375-75D37C2908AE}" name="Columna2"/>
    <tableColumn id="27" xr3:uid="{99A22AAF-B60B-4FFD-B14C-C9D36A707443}" name="Columna3"/>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00A4DF-B855-4615-B25C-1D51908B39CB}" name="Tabla2" displayName="Tabla2" ref="B2:M26" totalsRowCount="1" headerRowDxfId="36" dataDxfId="35" tableBorderDxfId="34">
  <autoFilter ref="B2:M25" xr:uid="{3000A4DF-B855-4615-B25C-1D51908B39CB}"/>
  <tableColumns count="12">
    <tableColumn id="1" xr3:uid="{3BD02075-231D-4210-A703-0AD91ABF9947}" name="Objeto de la VF Aprobada" dataDxfId="33" totalsRowDxfId="32"/>
    <tableColumn id="2" xr3:uid="{7F1BFA69-2497-4571-8FEE-DFCDDAD4F58A}" name="Estado del Avance en la Contratación_x000a_a 30/07/2025" dataDxfId="31" totalsRowDxfId="30"/>
    <tableColumn id="11" xr3:uid="{980C9FA0-6BB8-4166-880F-D994973D29EF}" name="Estado del Avance en la Contratación_x000a_a 21/08/2025" dataDxfId="29" totalsRowDxfId="28"/>
    <tableColumn id="12" xr3:uid="{52BDBB1A-2142-4D3F-A3A1-1AB28F03E67A}" name="Estado del Avance en la Contratación_x000a_a 24/09/2026" dataDxfId="27" totalsRowDxfId="26"/>
    <tableColumn id="9" xr3:uid="{1B2C6ED1-DA36-4BEF-8E71-A46849A6E2F9}" name="Estado del Avance en la Contratación_x000a_a 30/09/2025" dataDxfId="25" totalsRowDxfId="24"/>
    <tableColumn id="3" xr3:uid="{1ABB2DEC-D399-472D-91D9-678DE9262CDA}" name="No. de Contrato" dataDxfId="23" totalsRowDxfId="22"/>
    <tableColumn id="4" xr3:uid="{9293909C-B556-47ED-A66D-AC406DE572FF}" name="Enlace SECOPII" dataDxfId="21" totalsRowDxfId="20"/>
    <tableColumn id="5" xr3:uid="{0353875E-ADFA-40E0-8A42-6B930ABC6C55}" name="Valor 2025" totalsRowFunction="custom" dataDxfId="19" totalsRowDxfId="18">
      <totalsRowFormula>SUBTOTAL(9,Tabla2[Valor 2025])</totalsRowFormula>
    </tableColumn>
    <tableColumn id="6" xr3:uid="{1991C632-3A1D-4AF9-B45F-066D2AD59AD6}" name="Valor 2026" totalsRowFunction="custom" dataDxfId="17" totalsRowDxfId="16">
      <totalsRowFormula>SUBTOTAL(9,Tabla2[Valor 2026])</totalsRowFormula>
    </tableColumn>
    <tableColumn id="7" xr3:uid="{5C3306BC-5BFC-4934-BD1A-0AF8B77BB229}" name="Valor 2027" totalsRowFunction="custom" dataDxfId="15" totalsRowDxfId="14">
      <totalsRowFormula>SUBTOTAL(9,Tabla2[Valor 2027])</totalsRowFormula>
    </tableColumn>
    <tableColumn id="8" xr3:uid="{7B121DC4-200A-48BF-A09E-B8B873C4B92E}" name="TOTAL DEL CONTRATO" totalsRowFunction="custom" dataDxfId="13" totalsRowDxfId="12">
      <calculatedColumnFormula>Tabla2[[#This Row],[Valor 2025]]+Tabla2[[#This Row],[Valor 2026]]+Tabla2[[#This Row],[Valor 2027]]</calculatedColumnFormula>
      <totalsRowFormula>SUBTOTAL(9,Tabla2[TOTAL DEL CONTRATO])</totalsRowFormula>
    </tableColumn>
    <tableColumn id="10" xr3:uid="{D7778B54-AB6A-4525-A4FE-19B92E3D7E0D}" name="GIROS" totalsRowFunction="sum" dataDxfId="11" totalsRowDxfId="10"/>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C306F9E-6F1E-414A-8FC6-535076FACD9F}" name="Tabla4" displayName="Tabla4" ref="C1:I33" totalsRowShown="0" headerRowDxfId="9" dataDxfId="8" tableBorderDxfId="7">
  <autoFilter ref="C1:I33" xr:uid="{5C306F9E-6F1E-414A-8FC6-535076FACD9F}"/>
  <tableColumns count="7">
    <tableColumn id="1" xr3:uid="{DEF3618C-F5BB-4128-8925-BA367A2FFFD6}" name="Item" dataDxfId="6"/>
    <tableColumn id="2" xr3:uid="{395BFC66-8F0A-444F-B370-0544373974D0}" name="Aprop. 2025" dataDxfId="5"/>
    <tableColumn id="3" xr3:uid="{230191E7-7C0C-47C4-B80B-A611738F7646}" name="VF 2026" dataDxfId="4"/>
    <tableColumn id="4" xr3:uid="{52EF400C-A56C-491A-9E1F-059F5D0FC1E4}" name="VF 2027" dataDxfId="3"/>
    <tableColumn id="5" xr3:uid="{6F3AD037-4560-41F6-BCDF-5410DC4D035E}" name=" TOTAL  vf" dataDxfId="2"/>
    <tableColumn id="6" xr3:uid="{7A113FC8-0A1C-43C4-A315-FD28FF4E24B9}" name="Valor Contrato " dataDxfId="1"/>
    <tableColumn id="7" xr3:uid="{0AD19F25-7F02-446B-8710-1BA0BD4670BB}" name="Giros 2025" data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8679226&amp;isFromPublicArea=True&amp;isModal=true&amp;asPopupView=true" TargetMode="External"/><Relationship Id="rId3" Type="http://schemas.openxmlformats.org/officeDocument/2006/relationships/hyperlink" Target="https://operaciones.colombiacompra.gov.co/tienda-virtual-del-estado-colombiano/ordenes-compra/149030" TargetMode="External"/><Relationship Id="rId7" Type="http://schemas.openxmlformats.org/officeDocument/2006/relationships/hyperlink" Target="https://community.secop.gov.co/Public/Tendering/OpportunityDetail/Index?noticeUID=CO1.NTC.8683947&amp;isFromPublicArea=True&amp;isModal=true&amp;asPopupView=true" TargetMode="External"/><Relationship Id="rId2" Type="http://schemas.openxmlformats.org/officeDocument/2006/relationships/hyperlink" Target="https://community.secop.gov.co/Public/Tendering/OpportunityDetail/Index?noticeUID=CO1.NTC.8232707&amp;isFromPublicArea=True&amp;isModal=true&amp;asPopupView=true" TargetMode="External"/><Relationship Id="rId1" Type="http://schemas.openxmlformats.org/officeDocument/2006/relationships/hyperlink" Target="https://community.secop.gov.co/Public/Tendering/OpportunityDetail/Index?noticeUID=CO1.NTC.8266241&amp;isFromPublicArea=True&amp;isModal=true&amp;asPopupView=true" TargetMode="External"/><Relationship Id="rId6" Type="http://schemas.openxmlformats.org/officeDocument/2006/relationships/hyperlink" Target="https://community.secop.gov.co/Public/Tendering/OpportunityDetail/Index?noticeUID=CO1.NTC.8345740&amp;isFromPublicArea=True&amp;isModal=true&amp;asPopupView=true" TargetMode="External"/><Relationship Id="rId11" Type="http://schemas.openxmlformats.org/officeDocument/2006/relationships/table" Target="../tables/table2.xml"/><Relationship Id="rId5" Type="http://schemas.openxmlformats.org/officeDocument/2006/relationships/hyperlink" Target="https://community.secop.gov.co/Public/Tendering/OpportunityDetail/Index?noticeUID=CO1.NTC.8223857&amp;isFromPublicArea=True&amp;isModal=true&amp;asPopupView=true" TargetMode="External"/><Relationship Id="rId10" Type="http://schemas.openxmlformats.org/officeDocument/2006/relationships/hyperlink" Target="https://community.secop.gov.co/Public/Tendering/OpportunityDetail/Index?noticeUID=CO1.NTC.8865074&amp;isFromPublicArea=True&amp;isModal=true&amp;asPopupView=true" TargetMode="External"/><Relationship Id="rId4" Type="http://schemas.openxmlformats.org/officeDocument/2006/relationships/hyperlink" Target="https://community.secop.gov.co/Public/Tendering/OpportunityDetail/Index?noticeUID=CO1.NTC.8166578&amp;isFromPublicArea=True&amp;isModal=true&amp;asPopupView=true" TargetMode="External"/><Relationship Id="rId9" Type="http://schemas.openxmlformats.org/officeDocument/2006/relationships/hyperlink" Target="https://community.secop.gov.co/Public/Tendering/OpportunityDetail/Index?noticeUID=CO1.NTC.8485278&amp;isFromPublicArea=True&amp;isModal=true&amp;asPopupView=true"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416D1-0074-47FB-B816-7B61EB6D431D}">
  <dimension ref="A1:G28"/>
  <sheetViews>
    <sheetView workbookViewId="0">
      <selection activeCell="A4" sqref="A4"/>
    </sheetView>
  </sheetViews>
  <sheetFormatPr baseColWidth="10" defaultColWidth="9.140625" defaultRowHeight="15" x14ac:dyDescent="0.25"/>
  <cols>
    <col min="1" max="1" width="44.5703125" customWidth="1"/>
    <col min="2" max="5" width="11.5703125" customWidth="1"/>
    <col min="6" max="6" width="17.140625" customWidth="1"/>
  </cols>
  <sheetData>
    <row r="1" spans="1:7" x14ac:dyDescent="0.25">
      <c r="A1" s="40"/>
      <c r="B1" s="40"/>
      <c r="C1" s="40"/>
      <c r="D1" s="40"/>
      <c r="E1" s="40"/>
    </row>
    <row r="2" spans="1:7" x14ac:dyDescent="0.25">
      <c r="A2" s="40"/>
      <c r="B2" s="40"/>
      <c r="C2" s="40"/>
      <c r="D2" s="40"/>
      <c r="E2" s="40"/>
    </row>
    <row r="3" spans="1:7" ht="15.75" x14ac:dyDescent="0.25">
      <c r="A3" s="41" t="s">
        <v>0</v>
      </c>
      <c r="B3" s="42">
        <v>2025</v>
      </c>
      <c r="C3" s="42">
        <v>2026</v>
      </c>
      <c r="D3" s="42">
        <v>2027</v>
      </c>
      <c r="E3" s="42" t="s">
        <v>1</v>
      </c>
    </row>
    <row r="4" spans="1:7" x14ac:dyDescent="0.25">
      <c r="A4" s="43" t="s">
        <v>2</v>
      </c>
      <c r="B4" s="45">
        <v>55826</v>
      </c>
      <c r="C4" s="45">
        <v>84877</v>
      </c>
      <c r="D4" s="45">
        <v>77461</v>
      </c>
      <c r="E4" s="45">
        <v>162337</v>
      </c>
    </row>
    <row r="5" spans="1:7" x14ac:dyDescent="0.25">
      <c r="A5" s="46" t="s">
        <v>3</v>
      </c>
      <c r="B5" s="48">
        <v>12043</v>
      </c>
      <c r="C5" s="48">
        <v>19093</v>
      </c>
      <c r="D5" s="48">
        <v>19093</v>
      </c>
      <c r="E5" s="48">
        <v>38187</v>
      </c>
    </row>
    <row r="6" spans="1:7" x14ac:dyDescent="0.25">
      <c r="A6" s="46" t="s">
        <v>4</v>
      </c>
      <c r="B6" s="48">
        <v>5000</v>
      </c>
      <c r="C6" s="48">
        <v>6092</v>
      </c>
      <c r="D6" s="48">
        <v>5716</v>
      </c>
      <c r="E6" s="48">
        <v>11808</v>
      </c>
    </row>
    <row r="7" spans="1:7" x14ac:dyDescent="0.25">
      <c r="A7" s="46" t="s">
        <v>5</v>
      </c>
      <c r="B7" s="48">
        <v>1940</v>
      </c>
      <c r="C7" s="48">
        <v>2557</v>
      </c>
      <c r="D7" s="48">
        <v>2319</v>
      </c>
      <c r="E7" s="48">
        <v>4876</v>
      </c>
    </row>
    <row r="8" spans="1:7" x14ac:dyDescent="0.25">
      <c r="A8" s="46" t="s">
        <v>6</v>
      </c>
      <c r="B8" s="48">
        <v>7627</v>
      </c>
      <c r="C8" s="48">
        <v>9880</v>
      </c>
      <c r="D8" s="47" t="s">
        <v>7</v>
      </c>
      <c r="E8" s="48">
        <v>9880</v>
      </c>
    </row>
    <row r="9" spans="1:7" x14ac:dyDescent="0.25">
      <c r="A9" s="46" t="s">
        <v>8</v>
      </c>
      <c r="B9" s="48">
        <v>7608</v>
      </c>
      <c r="C9" s="48">
        <v>8074</v>
      </c>
      <c r="D9" s="48">
        <v>9535</v>
      </c>
      <c r="E9" s="48">
        <v>17609</v>
      </c>
    </row>
    <row r="10" spans="1:7" x14ac:dyDescent="0.25">
      <c r="A10" s="46" t="s">
        <v>9</v>
      </c>
      <c r="B10" s="47">
        <v>182</v>
      </c>
      <c r="C10" s="47">
        <v>384</v>
      </c>
      <c r="D10" s="47">
        <v>373</v>
      </c>
      <c r="E10" s="47">
        <v>757</v>
      </c>
    </row>
    <row r="11" spans="1:7" x14ac:dyDescent="0.25">
      <c r="A11" s="46" t="s">
        <v>10</v>
      </c>
      <c r="B11" s="48">
        <v>1031</v>
      </c>
      <c r="C11" s="48">
        <v>2036</v>
      </c>
      <c r="D11" s="48">
        <v>2007</v>
      </c>
      <c r="E11" s="48">
        <v>4043</v>
      </c>
    </row>
    <row r="12" spans="1:7" x14ac:dyDescent="0.25">
      <c r="A12" s="46" t="s">
        <v>11</v>
      </c>
      <c r="B12" s="48">
        <v>8241</v>
      </c>
      <c r="C12" s="48">
        <v>15137</v>
      </c>
      <c r="D12" s="48">
        <v>16358</v>
      </c>
      <c r="E12" s="48">
        <v>31496</v>
      </c>
    </row>
    <row r="13" spans="1:7" x14ac:dyDescent="0.25">
      <c r="A13" s="46" t="s">
        <v>12</v>
      </c>
      <c r="B13" s="48">
        <v>4049</v>
      </c>
      <c r="C13" s="48">
        <v>7379</v>
      </c>
      <c r="D13" s="48">
        <v>7844</v>
      </c>
      <c r="E13" s="48">
        <v>15223</v>
      </c>
    </row>
    <row r="14" spans="1:7" x14ac:dyDescent="0.25">
      <c r="A14" s="46" t="s">
        <v>13</v>
      </c>
      <c r="B14" s="48">
        <v>4944</v>
      </c>
      <c r="C14" s="48">
        <v>7416</v>
      </c>
      <c r="D14" s="48">
        <v>7416</v>
      </c>
      <c r="E14" s="48">
        <v>14832</v>
      </c>
    </row>
    <row r="15" spans="1:7" x14ac:dyDescent="0.25">
      <c r="A15" s="46" t="s">
        <v>14</v>
      </c>
      <c r="B15" s="47">
        <v>823</v>
      </c>
      <c r="C15" s="55">
        <v>1225</v>
      </c>
      <c r="D15" s="55">
        <v>1225</v>
      </c>
      <c r="E15" s="48">
        <v>2449</v>
      </c>
      <c r="F15" s="18">
        <f>+E15+80</f>
        <v>2529</v>
      </c>
      <c r="G15">
        <f>+B15+80</f>
        <v>903</v>
      </c>
    </row>
    <row r="16" spans="1:7" x14ac:dyDescent="0.25">
      <c r="A16" s="46" t="s">
        <v>15</v>
      </c>
      <c r="B16" s="47">
        <v>969</v>
      </c>
      <c r="C16" s="48">
        <v>3142</v>
      </c>
      <c r="D16" s="48">
        <v>3039</v>
      </c>
      <c r="E16" s="48">
        <v>6181</v>
      </c>
    </row>
    <row r="17" spans="1:5" x14ac:dyDescent="0.25">
      <c r="A17" s="46" t="s">
        <v>16</v>
      </c>
      <c r="B17" s="48">
        <v>1368</v>
      </c>
      <c r="C17" s="48">
        <v>2462</v>
      </c>
      <c r="D17" s="48">
        <v>2536</v>
      </c>
      <c r="E17" s="48">
        <v>4998</v>
      </c>
    </row>
    <row r="18" spans="1:5" x14ac:dyDescent="0.25">
      <c r="A18" s="43" t="s">
        <v>17</v>
      </c>
      <c r="B18" s="44">
        <v>598</v>
      </c>
      <c r="C18" s="45">
        <v>1220</v>
      </c>
      <c r="D18" s="45">
        <v>1246</v>
      </c>
      <c r="E18" s="45">
        <v>2466</v>
      </c>
    </row>
    <row r="19" spans="1:5" x14ac:dyDescent="0.25">
      <c r="A19" s="46" t="s">
        <v>18</v>
      </c>
      <c r="B19" s="47">
        <v>598</v>
      </c>
      <c r="C19" s="48">
        <v>1220</v>
      </c>
      <c r="D19" s="48">
        <v>1246</v>
      </c>
      <c r="E19" s="48">
        <v>2466</v>
      </c>
    </row>
    <row r="20" spans="1:5" x14ac:dyDescent="0.25">
      <c r="A20" s="43" t="s">
        <v>19</v>
      </c>
      <c r="B20" s="44">
        <v>465</v>
      </c>
      <c r="C20" s="45">
        <v>2107</v>
      </c>
      <c r="D20" s="44">
        <v>0</v>
      </c>
      <c r="E20" s="45">
        <v>2107</v>
      </c>
    </row>
    <row r="21" spans="1:5" x14ac:dyDescent="0.25">
      <c r="A21" s="46" t="s">
        <v>20</v>
      </c>
      <c r="B21" s="47">
        <v>465</v>
      </c>
      <c r="C21" s="48">
        <v>2107</v>
      </c>
      <c r="D21" s="47" t="s">
        <v>7</v>
      </c>
      <c r="E21" s="48">
        <v>2107</v>
      </c>
    </row>
    <row r="22" spans="1:5" x14ac:dyDescent="0.25">
      <c r="A22" s="43" t="s">
        <v>21</v>
      </c>
      <c r="B22" s="45">
        <v>18420</v>
      </c>
      <c r="C22" s="45">
        <v>56768</v>
      </c>
      <c r="D22" s="44">
        <v>0</v>
      </c>
      <c r="E22" s="45">
        <v>56768</v>
      </c>
    </row>
    <row r="23" spans="1:5" x14ac:dyDescent="0.25">
      <c r="A23" s="46" t="s">
        <v>22</v>
      </c>
      <c r="B23" s="48">
        <v>18420</v>
      </c>
      <c r="C23" s="48">
        <v>56768</v>
      </c>
      <c r="D23" s="47" t="s">
        <v>7</v>
      </c>
      <c r="E23" s="48">
        <v>56768</v>
      </c>
    </row>
    <row r="24" spans="1:5" ht="18.75" x14ac:dyDescent="0.3">
      <c r="A24" s="49" t="s">
        <v>1</v>
      </c>
      <c r="B24" s="50">
        <v>75309</v>
      </c>
      <c r="C24" s="50">
        <v>144972</v>
      </c>
      <c r="D24" s="50">
        <v>78707</v>
      </c>
      <c r="E24" s="50">
        <v>223679</v>
      </c>
    </row>
    <row r="25" spans="1:5" ht="18.75" x14ac:dyDescent="0.3">
      <c r="A25" s="40"/>
      <c r="B25" s="40"/>
      <c r="C25" s="40"/>
      <c r="D25" s="40"/>
      <c r="E25" s="51">
        <v>193821</v>
      </c>
    </row>
    <row r="26" spans="1:5" x14ac:dyDescent="0.25">
      <c r="A26" s="40"/>
      <c r="B26" s="40"/>
      <c r="C26" s="40"/>
      <c r="D26" s="40"/>
      <c r="E26" s="52">
        <v>417500</v>
      </c>
    </row>
    <row r="27" spans="1:5" x14ac:dyDescent="0.25">
      <c r="A27" s="40"/>
      <c r="B27" s="40"/>
      <c r="C27" s="40"/>
      <c r="D27" s="40"/>
      <c r="E27" s="53">
        <v>719000000000</v>
      </c>
    </row>
    <row r="28" spans="1:5" x14ac:dyDescent="0.25">
      <c r="A28" s="40"/>
      <c r="B28" s="40"/>
      <c r="C28" s="40"/>
      <c r="D28" s="40"/>
      <c r="E28" s="54">
        <v>0.57999999999999996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283BE-D6A8-4A64-A346-9F5DBC1C2F1D}">
  <sheetPr>
    <tabColor theme="7"/>
  </sheetPr>
  <dimension ref="A2:F25"/>
  <sheetViews>
    <sheetView workbookViewId="0">
      <selection activeCell="B2" sqref="B2"/>
    </sheetView>
  </sheetViews>
  <sheetFormatPr baseColWidth="10" defaultColWidth="11.42578125" defaultRowHeight="15" x14ac:dyDescent="0.25"/>
  <cols>
    <col min="1" max="1" width="23.5703125" bestFit="1" customWidth="1"/>
    <col min="2" max="2" width="18.85546875" bestFit="1" customWidth="1"/>
    <col min="3" max="4" width="17.7109375" bestFit="1" customWidth="1"/>
    <col min="5" max="5" width="13.85546875" bestFit="1" customWidth="1"/>
    <col min="6" max="6" width="12.28515625" bestFit="1" customWidth="1"/>
    <col min="10" max="10" width="17.85546875" bestFit="1" customWidth="1"/>
    <col min="24" max="34" width="12.42578125" bestFit="1" customWidth="1"/>
    <col min="35" max="36" width="13.42578125" bestFit="1" customWidth="1"/>
    <col min="37" max="37" width="11.7109375" bestFit="1" customWidth="1"/>
  </cols>
  <sheetData>
    <row r="2" spans="1:6" x14ac:dyDescent="0.25">
      <c r="A2" s="56" t="s">
        <v>23</v>
      </c>
      <c r="B2" t="s">
        <v>24</v>
      </c>
    </row>
    <row r="3" spans="1:6" x14ac:dyDescent="0.25">
      <c r="A3" s="56" t="s">
        <v>25</v>
      </c>
      <c r="B3" t="s">
        <v>26</v>
      </c>
    </row>
    <row r="4" spans="1:6" ht="33.75" customHeight="1" x14ac:dyDescent="0.25">
      <c r="A4" s="180" t="s">
        <v>27</v>
      </c>
      <c r="B4" s="180"/>
      <c r="C4" s="180"/>
      <c r="D4" s="180"/>
      <c r="E4" s="180"/>
      <c r="F4" s="180"/>
    </row>
    <row r="5" spans="1:6" s="86" customFormat="1" ht="75" x14ac:dyDescent="0.25">
      <c r="A5" s="85" t="s">
        <v>28</v>
      </c>
      <c r="B5" s="87" t="s">
        <v>29</v>
      </c>
      <c r="C5" s="87" t="s">
        <v>30</v>
      </c>
      <c r="D5" s="87" t="s">
        <v>31</v>
      </c>
      <c r="E5" s="87" t="s">
        <v>32</v>
      </c>
      <c r="F5" s="86" t="s">
        <v>33</v>
      </c>
    </row>
    <row r="6" spans="1:6" x14ac:dyDescent="0.25">
      <c r="A6" s="83" t="s">
        <v>3</v>
      </c>
      <c r="B6" s="58">
        <v>12043353630</v>
      </c>
      <c r="C6" s="58">
        <v>19666223360</v>
      </c>
      <c r="D6" s="58">
        <v>20256177240</v>
      </c>
      <c r="E6" s="58">
        <v>39922400600</v>
      </c>
      <c r="F6" s="58">
        <v>51965754230</v>
      </c>
    </row>
    <row r="7" spans="1:6" ht="26.25" x14ac:dyDescent="0.25">
      <c r="A7" s="84" t="s">
        <v>4</v>
      </c>
      <c r="B7" s="58">
        <v>5000000000</v>
      </c>
      <c r="C7" s="58">
        <v>6275000000</v>
      </c>
      <c r="D7" s="58">
        <v>6063750000</v>
      </c>
      <c r="E7" s="58">
        <v>12338750000</v>
      </c>
      <c r="F7" s="58">
        <v>17338750000</v>
      </c>
    </row>
    <row r="8" spans="1:6" ht="26.25" x14ac:dyDescent="0.25">
      <c r="A8" s="84" t="s">
        <v>5</v>
      </c>
      <c r="B8" s="58">
        <v>1940310000</v>
      </c>
      <c r="C8" s="58">
        <v>2633970826</v>
      </c>
      <c r="D8" s="58">
        <v>2460070542</v>
      </c>
      <c r="E8" s="58">
        <v>5094041368</v>
      </c>
      <c r="F8" s="58">
        <v>7034351368</v>
      </c>
    </row>
    <row r="9" spans="1:6" x14ac:dyDescent="0.25">
      <c r="A9" s="84" t="s">
        <v>6</v>
      </c>
      <c r="B9" s="58">
        <v>7627092089.0625</v>
      </c>
      <c r="C9" s="58">
        <v>10175885743.75</v>
      </c>
      <c r="D9" s="58"/>
      <c r="E9" s="58">
        <v>10175885743.75</v>
      </c>
      <c r="F9" s="58">
        <v>17802977832.8125</v>
      </c>
    </row>
    <row r="10" spans="1:6" ht="26.25" x14ac:dyDescent="0.25">
      <c r="A10" s="84" t="s">
        <v>8</v>
      </c>
      <c r="B10" s="58">
        <v>7608000000</v>
      </c>
      <c r="C10" s="58">
        <v>8316000000</v>
      </c>
      <c r="D10" s="58">
        <v>10116000000</v>
      </c>
      <c r="E10" s="58">
        <v>18432000000</v>
      </c>
      <c r="F10" s="58">
        <v>26040000000</v>
      </c>
    </row>
    <row r="11" spans="1:6" ht="26.25" x14ac:dyDescent="0.25">
      <c r="A11" s="84" t="s">
        <v>9</v>
      </c>
      <c r="B11" s="58">
        <v>182045083</v>
      </c>
      <c r="C11" s="58">
        <v>395431702</v>
      </c>
      <c r="D11" s="58">
        <v>395431702</v>
      </c>
      <c r="E11" s="58">
        <v>790863404</v>
      </c>
      <c r="F11" s="58">
        <v>972908487</v>
      </c>
    </row>
    <row r="12" spans="1:6" ht="26.25" x14ac:dyDescent="0.25">
      <c r="A12" s="84" t="s">
        <v>10</v>
      </c>
      <c r="B12" s="58">
        <v>1031462432</v>
      </c>
      <c r="C12" s="58">
        <v>2097003556.5</v>
      </c>
      <c r="D12" s="58">
        <v>2128826916</v>
      </c>
      <c r="E12" s="58">
        <v>4225830472.5</v>
      </c>
      <c r="F12" s="58">
        <v>5257292904.5</v>
      </c>
    </row>
    <row r="13" spans="1:6" x14ac:dyDescent="0.25">
      <c r="A13" s="84" t="s">
        <v>11</v>
      </c>
      <c r="B13" s="58">
        <v>8240974470</v>
      </c>
      <c r="C13" s="58">
        <v>15591548787</v>
      </c>
      <c r="D13" s="58">
        <v>17354280733</v>
      </c>
      <c r="E13" s="58">
        <v>32945829520</v>
      </c>
      <c r="F13" s="58">
        <v>41186803990</v>
      </c>
    </row>
    <row r="14" spans="1:6" x14ac:dyDescent="0.25">
      <c r="A14" s="84" t="s">
        <v>12</v>
      </c>
      <c r="B14" s="58">
        <v>4048661946</v>
      </c>
      <c r="C14" s="58">
        <v>7599916848</v>
      </c>
      <c r="D14" s="58">
        <v>8321908956</v>
      </c>
      <c r="E14" s="58">
        <v>15921825804</v>
      </c>
      <c r="F14" s="58">
        <v>19970487750</v>
      </c>
    </row>
    <row r="15" spans="1:6" ht="26.25" x14ac:dyDescent="0.25">
      <c r="A15" s="84" t="s">
        <v>13</v>
      </c>
      <c r="B15" s="58">
        <v>4944000000</v>
      </c>
      <c r="C15" s="58">
        <v>7638480000</v>
      </c>
      <c r="D15" s="58">
        <v>7867634400</v>
      </c>
      <c r="E15" s="58">
        <v>15506114400</v>
      </c>
      <c r="F15" s="58">
        <v>20450114400</v>
      </c>
    </row>
    <row r="16" spans="1:6" x14ac:dyDescent="0.25">
      <c r="A16" s="84" t="s">
        <v>14</v>
      </c>
      <c r="B16" s="58">
        <v>823374531</v>
      </c>
      <c r="C16" s="58">
        <v>1261289392</v>
      </c>
      <c r="D16" s="58">
        <v>1299128073</v>
      </c>
      <c r="E16" s="58">
        <v>2560417465</v>
      </c>
      <c r="F16" s="58">
        <v>3383791996</v>
      </c>
    </row>
    <row r="17" spans="1:6" x14ac:dyDescent="0.25">
      <c r="A17" s="84" t="s">
        <v>15</v>
      </c>
      <c r="B17" s="58">
        <v>969110105</v>
      </c>
      <c r="C17" s="58">
        <v>3236279481</v>
      </c>
      <c r="D17" s="58">
        <v>3224136409</v>
      </c>
      <c r="E17" s="58">
        <v>6460415890</v>
      </c>
      <c r="F17" s="58">
        <v>7429525995</v>
      </c>
    </row>
    <row r="18" spans="1:6" x14ac:dyDescent="0.25">
      <c r="A18" s="84" t="s">
        <v>16</v>
      </c>
      <c r="B18" s="58">
        <v>1367913840</v>
      </c>
      <c r="C18" s="58">
        <v>2536112256</v>
      </c>
      <c r="D18" s="58">
        <v>2690561496</v>
      </c>
      <c r="E18" s="58">
        <v>5226673752</v>
      </c>
      <c r="F18" s="58">
        <v>6594587592</v>
      </c>
    </row>
    <row r="19" spans="1:6" x14ac:dyDescent="0.25">
      <c r="A19" s="84" t="s">
        <v>18</v>
      </c>
      <c r="B19" s="58">
        <v>597841887</v>
      </c>
      <c r="C19" s="58">
        <v>1256781504</v>
      </c>
      <c r="D19" s="58">
        <v>1322134142</v>
      </c>
      <c r="E19" s="58">
        <v>2578915646</v>
      </c>
      <c r="F19" s="58">
        <v>3176757533</v>
      </c>
    </row>
    <row r="20" spans="1:6" ht="26.25" x14ac:dyDescent="0.25">
      <c r="A20" s="84" t="s">
        <v>34</v>
      </c>
      <c r="B20" s="58">
        <v>465000000</v>
      </c>
      <c r="C20" s="58">
        <v>2170000000</v>
      </c>
      <c r="D20" s="58"/>
      <c r="E20" s="58">
        <v>2170000000</v>
      </c>
      <c r="F20" s="58">
        <v>2635000000</v>
      </c>
    </row>
    <row r="21" spans="1:6" x14ac:dyDescent="0.25">
      <c r="A21" s="84" t="s">
        <v>35</v>
      </c>
      <c r="B21" s="58">
        <v>18420262792</v>
      </c>
      <c r="C21" s="58">
        <v>58556551740</v>
      </c>
      <c r="D21" s="58"/>
      <c r="E21" s="58">
        <v>58556551740</v>
      </c>
      <c r="F21" s="58">
        <v>76976814532</v>
      </c>
    </row>
    <row r="22" spans="1:6" x14ac:dyDescent="0.25">
      <c r="A22" s="57" t="s">
        <v>36</v>
      </c>
      <c r="B22" s="58">
        <v>75309402805.0625</v>
      </c>
      <c r="C22" s="58">
        <v>149406475196.25</v>
      </c>
      <c r="D22" s="58">
        <v>83500040609</v>
      </c>
      <c r="E22" s="58">
        <v>232906515805.25</v>
      </c>
      <c r="F22" s="58">
        <v>308215918610.3125</v>
      </c>
    </row>
    <row r="25" spans="1:6" x14ac:dyDescent="0.25">
      <c r="B25" s="58"/>
    </row>
  </sheetData>
  <sheetProtection algorithmName="SHA-512" hashValue="fQNRh/JdsFsxzY3Rnf/NEepvxSKplQL7r4XYl4TJbOSH430Mzx6cFHMkk3JsF4ir/ebGVDlj24lqPoukIU9Cxw==" saltValue="iq1Pgf85Oxh1COv0JDWWuw==" spinCount="100000" sheet="1" objects="1" scenarios="1"/>
  <mergeCells count="1">
    <mergeCell ref="A4: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2EC36-C6AB-477E-A785-96F5B27BBBCE}">
  <sheetPr>
    <tabColor theme="8"/>
  </sheetPr>
  <dimension ref="A1:AB45"/>
  <sheetViews>
    <sheetView showGridLines="0" tabSelected="1" zoomScale="80" zoomScaleNormal="80" workbookViewId="0">
      <selection activeCell="P34" sqref="P34"/>
    </sheetView>
  </sheetViews>
  <sheetFormatPr baseColWidth="10" defaultColWidth="8.85546875" defaultRowHeight="15" customHeight="1" x14ac:dyDescent="0.25"/>
  <cols>
    <col min="1" max="1" width="8.85546875" style="4"/>
    <col min="2" max="2" width="13.28515625" style="17" customWidth="1"/>
    <col min="3" max="3" width="12.28515625" style="17" hidden="1" customWidth="1"/>
    <col min="4" max="4" width="16.28515625" style="17" hidden="1" customWidth="1"/>
    <col min="5" max="5" width="23.140625" style="17" customWidth="1"/>
    <col min="6" max="6" width="21.28515625" style="17" customWidth="1"/>
    <col min="7" max="7" width="16.42578125" customWidth="1"/>
    <col min="8" max="8" width="43.28515625" customWidth="1"/>
    <col min="9" max="9" width="13.7109375" style="9" customWidth="1"/>
    <col min="10" max="10" width="20.5703125" style="18" customWidth="1"/>
    <col min="11" max="11" width="18.140625" style="18" customWidth="1"/>
    <col min="12" max="13" width="18.42578125" style="18" customWidth="1"/>
    <col min="14" max="15" width="19.7109375" style="18" customWidth="1"/>
    <col min="16" max="16" width="20.140625" style="18" customWidth="1"/>
    <col min="17" max="17" width="20.7109375" style="18" customWidth="1"/>
    <col min="18" max="19" width="19.28515625" style="18" customWidth="1"/>
    <col min="20" max="20" width="19.85546875" style="18" customWidth="1"/>
    <col min="21" max="21" width="21.28515625" style="18" customWidth="1"/>
    <col min="22" max="22" width="15.5703125" customWidth="1"/>
    <col min="23" max="23" width="19.42578125" customWidth="1"/>
    <col min="24" max="24" width="16.42578125" customWidth="1"/>
    <col min="25" max="25" width="18.42578125" customWidth="1"/>
    <col min="26" max="26" width="14.85546875" hidden="1" customWidth="1"/>
    <col min="27" max="27" width="13.5703125" hidden="1" customWidth="1"/>
    <col min="28" max="28" width="0" hidden="1" customWidth="1"/>
  </cols>
  <sheetData>
    <row r="1" spans="1:28" s="2" customFormat="1" ht="27" customHeight="1" x14ac:dyDescent="0.25">
      <c r="A1" s="1"/>
      <c r="I1" s="3"/>
      <c r="J1" s="181" t="s">
        <v>37</v>
      </c>
      <c r="K1" s="182"/>
      <c r="L1" s="182"/>
      <c r="M1" s="182"/>
      <c r="N1" s="182"/>
      <c r="O1" s="183"/>
      <c r="P1" s="184" t="s">
        <v>38</v>
      </c>
      <c r="Q1" s="185"/>
      <c r="R1" s="185"/>
      <c r="S1" s="185"/>
      <c r="T1" s="185"/>
      <c r="U1" s="186"/>
    </row>
    <row r="2" spans="1:28" ht="42.75" customHeight="1" x14ac:dyDescent="0.25">
      <c r="A2" s="1" t="s">
        <v>39</v>
      </c>
      <c r="B2" s="6" t="s">
        <v>25</v>
      </c>
      <c r="C2" s="7" t="s">
        <v>40</v>
      </c>
      <c r="D2" s="7" t="s">
        <v>41</v>
      </c>
      <c r="E2" s="8" t="s">
        <v>42</v>
      </c>
      <c r="F2" s="7" t="s">
        <v>43</v>
      </c>
      <c r="G2" s="6" t="s">
        <v>44</v>
      </c>
      <c r="H2" s="6" t="s">
        <v>45</v>
      </c>
      <c r="I2" s="19" t="s">
        <v>46</v>
      </c>
      <c r="J2" s="27" t="s">
        <v>47</v>
      </c>
      <c r="K2" s="27" t="s">
        <v>48</v>
      </c>
      <c r="L2" s="27" t="s">
        <v>49</v>
      </c>
      <c r="M2" s="27" t="s">
        <v>50</v>
      </c>
      <c r="N2" s="27" t="s">
        <v>51</v>
      </c>
      <c r="O2" s="27" t="s">
        <v>52</v>
      </c>
      <c r="P2" s="27" t="s">
        <v>53</v>
      </c>
      <c r="Q2" s="27" t="s">
        <v>54</v>
      </c>
      <c r="R2" s="27" t="s">
        <v>55</v>
      </c>
      <c r="S2" s="27" t="s">
        <v>56</v>
      </c>
      <c r="T2" s="27" t="s">
        <v>57</v>
      </c>
      <c r="U2" s="27" t="s">
        <v>58</v>
      </c>
      <c r="V2" s="14" t="s">
        <v>23</v>
      </c>
      <c r="W2" s="59" t="s">
        <v>59</v>
      </c>
      <c r="X2" s="10" t="s">
        <v>60</v>
      </c>
      <c r="Y2" s="81" t="s">
        <v>61</v>
      </c>
      <c r="Z2" s="10" t="s">
        <v>62</v>
      </c>
      <c r="AA2" s="10" t="s">
        <v>63</v>
      </c>
      <c r="AB2" s="10" t="s">
        <v>64</v>
      </c>
    </row>
    <row r="3" spans="1:28" ht="16.899999999999999" customHeight="1" x14ac:dyDescent="0.25">
      <c r="A3" s="5">
        <v>1</v>
      </c>
      <c r="B3" s="5" t="s">
        <v>65</v>
      </c>
      <c r="C3" s="11" t="s">
        <v>66</v>
      </c>
      <c r="D3" s="8" t="s">
        <v>67</v>
      </c>
      <c r="E3" s="8" t="s">
        <v>68</v>
      </c>
      <c r="F3" s="8" t="s">
        <v>69</v>
      </c>
      <c r="G3" s="8" t="s">
        <v>70</v>
      </c>
      <c r="H3" s="12" t="s">
        <v>3</v>
      </c>
      <c r="I3" s="135">
        <v>305064</v>
      </c>
      <c r="J3" s="65">
        <v>12043353630</v>
      </c>
      <c r="K3" s="64">
        <v>19666223360</v>
      </c>
      <c r="L3" s="64">
        <v>20256177240</v>
      </c>
      <c r="M3" s="61"/>
      <c r="N3" s="61">
        <f>SUM(VigenciasFuturas34[[#This Row],[Recursos vigencia futura 2026]:[Recursos vigencia futura 2028]])</f>
        <v>39922400600</v>
      </c>
      <c r="O3" s="60">
        <f>VigenciasFuturas34[[#This Row],[TOTAL CORRIENTES]]+VigenciasFuturas34[[#This Row],[Recursos disponibles 2025]]</f>
        <v>51965754230</v>
      </c>
      <c r="P3" s="61">
        <v>12043353630</v>
      </c>
      <c r="Q3" s="61">
        <v>19093420738</v>
      </c>
      <c r="R3" s="61">
        <v>19093389801</v>
      </c>
      <c r="S3" s="61"/>
      <c r="T3" s="62">
        <f>SUM(VigenciasFuturas34[[#This Row],[2026]:[2028]])</f>
        <v>38186810539</v>
      </c>
      <c r="U3" s="62">
        <f>VigenciasFuturas34[[#This Row],[2025]]+VigenciasFuturas34[[#This Row],[TOTAL CONSTANTES]]</f>
        <v>50230164169</v>
      </c>
      <c r="V3" s="20" t="s">
        <v>71</v>
      </c>
      <c r="W3" s="20" t="s">
        <v>72</v>
      </c>
      <c r="X3" s="79">
        <v>45763</v>
      </c>
      <c r="Y3" s="82" t="s">
        <v>73</v>
      </c>
      <c r="Z3">
        <f t="shared" ref="Z3:Z40" si="0">SUBTOTAL(9,K3:K28)</f>
        <v>87423141952.25</v>
      </c>
      <c r="AA3">
        <f>SUBTOTAL(9,K3:K28)</f>
        <v>87423141952.25</v>
      </c>
      <c r="AB3">
        <v>1</v>
      </c>
    </row>
    <row r="4" spans="1:28" ht="16.899999999999999" customHeight="1" x14ac:dyDescent="0.25">
      <c r="A4" s="187">
        <v>2</v>
      </c>
      <c r="B4" s="5" t="s">
        <v>74</v>
      </c>
      <c r="C4" s="8" t="s">
        <v>75</v>
      </c>
      <c r="D4" s="8" t="s">
        <v>76</v>
      </c>
      <c r="E4" s="8" t="s">
        <v>77</v>
      </c>
      <c r="F4" s="13" t="s">
        <v>78</v>
      </c>
      <c r="G4" s="8" t="s">
        <v>79</v>
      </c>
      <c r="H4" s="136" t="s">
        <v>4</v>
      </c>
      <c r="I4" s="137">
        <v>290032</v>
      </c>
      <c r="J4" s="64">
        <v>4728232760</v>
      </c>
      <c r="K4" s="64">
        <v>5622758624</v>
      </c>
      <c r="L4" s="64">
        <v>5411508616</v>
      </c>
      <c r="M4" s="61"/>
      <c r="N4" s="61">
        <f>SUM(VigenciasFuturas34[[#This Row],[Recursos vigencia futura 2026]:[Recursos vigencia futura 2028]])</f>
        <v>11034267240</v>
      </c>
      <c r="O4" s="60">
        <f>VigenciasFuturas34[[#This Row],[TOTAL CORRIENTES]]+VigenciasFuturas34[[#This Row],[Recursos disponibles 2025]]</f>
        <v>15762500000</v>
      </c>
      <c r="P4" s="61">
        <v>4728232760</v>
      </c>
      <c r="Q4" s="61">
        <v>5458988956</v>
      </c>
      <c r="R4" s="63">
        <v>5100865884</v>
      </c>
      <c r="S4" s="63"/>
      <c r="T4" s="62">
        <f>SUM(VigenciasFuturas34[[#This Row],[2026]:[2028]])</f>
        <v>10559854840</v>
      </c>
      <c r="U4" s="62">
        <f>VigenciasFuturas34[[#This Row],[2025]]+VigenciasFuturas34[[#This Row],[TOTAL CONSTANTES]]</f>
        <v>15288087600</v>
      </c>
      <c r="V4" s="20" t="s">
        <v>71</v>
      </c>
      <c r="W4" s="20" t="s">
        <v>72</v>
      </c>
      <c r="X4" s="79">
        <v>45763</v>
      </c>
      <c r="Y4" s="82" t="s">
        <v>73</v>
      </c>
      <c r="Z4">
        <f t="shared" si="0"/>
        <v>68772872864.25</v>
      </c>
    </row>
    <row r="5" spans="1:28" ht="16.899999999999999" customHeight="1" x14ac:dyDescent="0.25">
      <c r="A5" s="188"/>
      <c r="B5" s="5" t="s">
        <v>74</v>
      </c>
      <c r="C5" s="8" t="s">
        <v>75</v>
      </c>
      <c r="D5" s="8" t="s">
        <v>76</v>
      </c>
      <c r="E5" s="8" t="s">
        <v>77</v>
      </c>
      <c r="F5" s="13" t="s">
        <v>78</v>
      </c>
      <c r="G5" s="8" t="s">
        <v>80</v>
      </c>
      <c r="H5" s="136" t="s">
        <v>4</v>
      </c>
      <c r="I5" s="137">
        <v>290032</v>
      </c>
      <c r="J5" s="64">
        <v>271767240</v>
      </c>
      <c r="K5" s="64">
        <v>652241376</v>
      </c>
      <c r="L5" s="64">
        <v>652241384</v>
      </c>
      <c r="M5" s="61"/>
      <c r="N5" s="61">
        <f>SUM(VigenciasFuturas34[[#This Row],[Recursos vigencia futura 2026]:[Recursos vigencia futura 2028]])</f>
        <v>1304482760</v>
      </c>
      <c r="O5" s="60">
        <f>VigenciasFuturas34[[#This Row],[TOTAL CORRIENTES]]+VigenciasFuturas34[[#This Row],[Recursos disponibles 2025]]</f>
        <v>1576250000</v>
      </c>
      <c r="P5" s="61">
        <v>271767240</v>
      </c>
      <c r="Q5" s="61">
        <v>633244054</v>
      </c>
      <c r="R5" s="61">
        <v>614800060</v>
      </c>
      <c r="S5" s="61"/>
      <c r="T5" s="62">
        <f>SUM(VigenciasFuturas34[[#This Row],[2026]:[2028]])</f>
        <v>1248044114</v>
      </c>
      <c r="U5" s="62">
        <f>VigenciasFuturas34[[#This Row],[2025]]+VigenciasFuturas34[[#This Row],[TOTAL CONSTANTES]]</f>
        <v>1519811354</v>
      </c>
      <c r="V5" s="20" t="s">
        <v>71</v>
      </c>
      <c r="W5" s="20" t="s">
        <v>72</v>
      </c>
      <c r="X5" s="79">
        <v>45763</v>
      </c>
      <c r="Y5" s="82" t="s">
        <v>73</v>
      </c>
      <c r="Z5">
        <f t="shared" si="0"/>
        <v>63375254607.25</v>
      </c>
    </row>
    <row r="6" spans="1:28" ht="15" customHeight="1" x14ac:dyDescent="0.25">
      <c r="A6" s="189">
        <v>3</v>
      </c>
      <c r="B6" s="5" t="s">
        <v>81</v>
      </c>
      <c r="C6" s="11" t="s">
        <v>82</v>
      </c>
      <c r="D6" s="8" t="s">
        <v>83</v>
      </c>
      <c r="E6" s="8" t="s">
        <v>84</v>
      </c>
      <c r="F6" s="8" t="s">
        <v>69</v>
      </c>
      <c r="G6" s="8" t="s">
        <v>85</v>
      </c>
      <c r="H6" s="136" t="s">
        <v>5</v>
      </c>
      <c r="I6" s="137">
        <v>290039</v>
      </c>
      <c r="J6" s="64">
        <v>210741350</v>
      </c>
      <c r="K6" s="64">
        <v>297517200</v>
      </c>
      <c r="L6" s="64">
        <v>273343928</v>
      </c>
      <c r="M6" s="61"/>
      <c r="N6" s="61">
        <f>SUM(VigenciasFuturas34[[#This Row],[Recursos vigencia futura 2026]:[Recursos vigencia futura 2028]])</f>
        <v>570861128</v>
      </c>
      <c r="O6" s="60">
        <f>VigenciasFuturas34[[#This Row],[TOTAL CORRIENTES]]+VigenciasFuturas34[[#This Row],[Recursos disponibles 2025]]</f>
        <v>781602478</v>
      </c>
      <c r="P6" s="61">
        <v>210741350</v>
      </c>
      <c r="Q6" s="61">
        <v>288851650</v>
      </c>
      <c r="R6" s="63">
        <v>257652868</v>
      </c>
      <c r="S6" s="63"/>
      <c r="T6" s="62">
        <f>SUM(VigenciasFuturas34[[#This Row],[2026]:[2028]])</f>
        <v>546504518</v>
      </c>
      <c r="U6" s="62">
        <f>VigenciasFuturas34[[#This Row],[2025]]+VigenciasFuturas34[[#This Row],[TOTAL CONSTANTES]]</f>
        <v>757245868</v>
      </c>
      <c r="V6" s="20" t="s">
        <v>71</v>
      </c>
      <c r="W6" s="20" t="s">
        <v>72</v>
      </c>
      <c r="X6" s="79">
        <v>45763</v>
      </c>
      <c r="Y6" s="82" t="s">
        <v>73</v>
      </c>
      <c r="Z6">
        <f t="shared" si="0"/>
        <v>62738700096.25</v>
      </c>
    </row>
    <row r="7" spans="1:28" x14ac:dyDescent="0.25">
      <c r="A7" s="190"/>
      <c r="B7" s="5" t="s">
        <v>81</v>
      </c>
      <c r="C7" s="11" t="s">
        <v>82</v>
      </c>
      <c r="D7" s="8" t="s">
        <v>83</v>
      </c>
      <c r="E7" s="8" t="s">
        <v>84</v>
      </c>
      <c r="F7" s="8" t="s">
        <v>69</v>
      </c>
      <c r="G7" s="8" t="s">
        <v>86</v>
      </c>
      <c r="H7" s="136" t="s">
        <v>5</v>
      </c>
      <c r="I7" s="137">
        <v>290039</v>
      </c>
      <c r="J7" s="64">
        <v>37189650</v>
      </c>
      <c r="K7" s="64">
        <v>39049133</v>
      </c>
      <c r="L7" s="64">
        <v>41001589</v>
      </c>
      <c r="M7" s="61"/>
      <c r="N7" s="61">
        <f>SUM(VigenciasFuturas34[[#This Row],[Recursos vigencia futura 2026]:[Recursos vigencia futura 2028]])</f>
        <v>80050722</v>
      </c>
      <c r="O7" s="60">
        <f>VigenciasFuturas34[[#This Row],[TOTAL CORRIENTES]]+VigenciasFuturas34[[#This Row],[Recursos disponibles 2025]]</f>
        <v>117240372</v>
      </c>
      <c r="P7" s="61">
        <v>37189650</v>
      </c>
      <c r="Q7" s="61">
        <v>37911780</v>
      </c>
      <c r="R7" s="63">
        <v>38647930</v>
      </c>
      <c r="S7" s="63"/>
      <c r="T7" s="62">
        <f>SUM(VigenciasFuturas34[[#This Row],[2026]:[2028]])</f>
        <v>76559710</v>
      </c>
      <c r="U7" s="62">
        <f>VigenciasFuturas34[[#This Row],[2025]]+VigenciasFuturas34[[#This Row],[TOTAL CONSTANTES]]</f>
        <v>113749360</v>
      </c>
      <c r="V7" s="20" t="s">
        <v>71</v>
      </c>
      <c r="W7" s="20" t="s">
        <v>72</v>
      </c>
      <c r="X7" s="79">
        <v>45763</v>
      </c>
      <c r="Y7" s="82" t="s">
        <v>73</v>
      </c>
      <c r="Z7">
        <f t="shared" si="0"/>
        <v>64611182896.25</v>
      </c>
    </row>
    <row r="8" spans="1:28" x14ac:dyDescent="0.25">
      <c r="A8" s="190"/>
      <c r="B8" s="5" t="s">
        <v>74</v>
      </c>
      <c r="C8" s="8" t="s">
        <v>75</v>
      </c>
      <c r="D8" s="8" t="s">
        <v>87</v>
      </c>
      <c r="E8" s="8" t="s">
        <v>84</v>
      </c>
      <c r="F8" s="13" t="s">
        <v>78</v>
      </c>
      <c r="G8" s="8" t="s">
        <v>85</v>
      </c>
      <c r="H8" s="136" t="s">
        <v>5</v>
      </c>
      <c r="I8" s="137">
        <v>290039</v>
      </c>
      <c r="J8" s="64">
        <v>1438522150</v>
      </c>
      <c r="K8" s="64">
        <v>2030854800</v>
      </c>
      <c r="L8" s="64">
        <v>1865847848</v>
      </c>
      <c r="M8" s="61"/>
      <c r="N8" s="61">
        <f>SUM(VigenciasFuturas34[[#This Row],[Recursos vigencia futura 2026]:[Recursos vigencia futura 2028]])</f>
        <v>3896702648</v>
      </c>
      <c r="O8" s="60">
        <f>VigenciasFuturas34[[#This Row],[TOTAL CORRIENTES]]+VigenciasFuturas34[[#This Row],[Recursos disponibles 2025]]</f>
        <v>5335224798</v>
      </c>
      <c r="P8" s="61">
        <v>1438522150</v>
      </c>
      <c r="Q8" s="61">
        <v>1971703689</v>
      </c>
      <c r="R8" s="63">
        <v>1758740549</v>
      </c>
      <c r="S8" s="63"/>
      <c r="T8" s="62">
        <f>SUM(VigenciasFuturas34[[#This Row],[2026]:[2028]])</f>
        <v>3730444238</v>
      </c>
      <c r="U8" s="62">
        <f>VigenciasFuturas34[[#This Row],[2025]]+VigenciasFuturas34[[#This Row],[TOTAL CONSTANTES]]</f>
        <v>5168966388</v>
      </c>
      <c r="V8" s="20" t="s">
        <v>71</v>
      </c>
      <c r="W8" s="20" t="s">
        <v>72</v>
      </c>
      <c r="X8" s="79">
        <v>45763</v>
      </c>
      <c r="Y8" s="82" t="s">
        <v>73</v>
      </c>
      <c r="Z8">
        <f t="shared" si="0"/>
        <v>67218385181.25</v>
      </c>
    </row>
    <row r="9" spans="1:28" x14ac:dyDescent="0.25">
      <c r="A9" s="191"/>
      <c r="B9" s="5" t="s">
        <v>74</v>
      </c>
      <c r="C9" s="8" t="s">
        <v>75</v>
      </c>
      <c r="D9" s="8" t="s">
        <v>87</v>
      </c>
      <c r="E9" s="8" t="s">
        <v>84</v>
      </c>
      <c r="F9" s="13" t="s">
        <v>78</v>
      </c>
      <c r="G9" s="8" t="s">
        <v>86</v>
      </c>
      <c r="H9" s="136" t="s">
        <v>5</v>
      </c>
      <c r="I9" s="137">
        <v>290039</v>
      </c>
      <c r="J9" s="64">
        <v>253856850</v>
      </c>
      <c r="K9" s="64">
        <v>266549693</v>
      </c>
      <c r="L9" s="64">
        <v>279877177</v>
      </c>
      <c r="M9" s="61"/>
      <c r="N9" s="61">
        <f>SUM(VigenciasFuturas34[[#This Row],[Recursos vigencia futura 2026]:[Recursos vigencia futura 2028]])</f>
        <v>546426870</v>
      </c>
      <c r="O9" s="60">
        <f>VigenciasFuturas34[[#This Row],[TOTAL CORRIENTES]]+VigenciasFuturas34[[#This Row],[Recursos disponibles 2025]]</f>
        <v>800283720</v>
      </c>
      <c r="P9" s="61">
        <v>253856850</v>
      </c>
      <c r="Q9" s="61">
        <v>258786110</v>
      </c>
      <c r="R9" s="63">
        <v>263811082</v>
      </c>
      <c r="S9" s="63"/>
      <c r="T9" s="62">
        <f>SUM(VigenciasFuturas34[[#This Row],[2026]:[2028]])</f>
        <v>522597192</v>
      </c>
      <c r="U9" s="62">
        <f>VigenciasFuturas34[[#This Row],[2025]]+VigenciasFuturas34[[#This Row],[TOTAL CONSTANTES]]</f>
        <v>776454042</v>
      </c>
      <c r="V9" s="20" t="s">
        <v>71</v>
      </c>
      <c r="W9" s="20" t="s">
        <v>72</v>
      </c>
      <c r="X9" s="79">
        <v>45763</v>
      </c>
      <c r="Y9" s="82" t="s">
        <v>73</v>
      </c>
      <c r="Z9">
        <f t="shared" si="0"/>
        <v>67828921382.25</v>
      </c>
    </row>
    <row r="10" spans="1:28" x14ac:dyDescent="0.25">
      <c r="A10" s="189">
        <v>4</v>
      </c>
      <c r="B10" s="5" t="s">
        <v>81</v>
      </c>
      <c r="C10" s="11" t="s">
        <v>82</v>
      </c>
      <c r="D10" s="8" t="s">
        <v>88</v>
      </c>
      <c r="E10" s="8" t="s">
        <v>89</v>
      </c>
      <c r="F10" s="8" t="s">
        <v>69</v>
      </c>
      <c r="G10" s="8" t="s">
        <v>90</v>
      </c>
      <c r="H10" s="136" t="s">
        <v>6</v>
      </c>
      <c r="I10" s="137">
        <v>314044</v>
      </c>
      <c r="J10" s="64">
        <v>15294375</v>
      </c>
      <c r="K10" s="64">
        <v>26822125</v>
      </c>
      <c r="L10" s="64"/>
      <c r="M10" s="64"/>
      <c r="N10" s="64">
        <f>SUM(VigenciasFuturas34[[#This Row],[Recursos vigencia futura 2026]:[Recursos vigencia futura 2028]])</f>
        <v>26822125</v>
      </c>
      <c r="O10" s="65">
        <f>VigenciasFuturas34[[#This Row],[TOTAL CORRIENTES]]+VigenciasFuturas34[[#This Row],[Recursos disponibles 2025]]</f>
        <v>42116500</v>
      </c>
      <c r="P10" s="64">
        <v>15294375</v>
      </c>
      <c r="Q10" s="64">
        <v>26040898</v>
      </c>
      <c r="R10" s="66"/>
      <c r="S10" s="66"/>
      <c r="T10" s="67">
        <f>SUM(VigenciasFuturas34[[#This Row],[2026]:[2028]])</f>
        <v>26040898</v>
      </c>
      <c r="U10" s="67">
        <f>VigenciasFuturas34[[#This Row],[2025]]+VigenciasFuturas34[[#This Row],[TOTAL CONSTANTES]]</f>
        <v>41335273</v>
      </c>
      <c r="V10" s="20" t="s">
        <v>71</v>
      </c>
      <c r="W10" s="20" t="s">
        <v>72</v>
      </c>
      <c r="X10" s="79">
        <v>45763</v>
      </c>
      <c r="Y10" s="82" t="s">
        <v>73</v>
      </c>
      <c r="Z10">
        <f t="shared" si="0"/>
        <v>119663136252.25</v>
      </c>
    </row>
    <row r="11" spans="1:28" x14ac:dyDescent="0.25">
      <c r="A11" s="191"/>
      <c r="B11" s="5" t="s">
        <v>74</v>
      </c>
      <c r="C11" s="8" t="s">
        <v>75</v>
      </c>
      <c r="D11" s="8" t="s">
        <v>76</v>
      </c>
      <c r="E11" s="8" t="s">
        <v>89</v>
      </c>
      <c r="F11" s="13" t="s">
        <v>78</v>
      </c>
      <c r="G11" s="8" t="s">
        <v>90</v>
      </c>
      <c r="H11" s="136" t="s">
        <v>6</v>
      </c>
      <c r="I11" s="137">
        <v>290024</v>
      </c>
      <c r="J11" s="64">
        <v>7611797714.0625</v>
      </c>
      <c r="K11" s="64">
        <v>10149063618.75</v>
      </c>
      <c r="L11" s="64"/>
      <c r="M11" s="64"/>
      <c r="N11" s="64">
        <f>SUM(VigenciasFuturas34[[#This Row],[Recursos vigencia futura 2026]:[Recursos vigencia futura 2028]])</f>
        <v>10149063618.75</v>
      </c>
      <c r="O11" s="65">
        <f>VigenciasFuturas34[[#This Row],[TOTAL CORRIENTES]]+VigenciasFuturas34[[#This Row],[Recursos disponibles 2025]]</f>
        <v>17760861332.8125</v>
      </c>
      <c r="P11" s="64">
        <v>7611797714</v>
      </c>
      <c r="Q11" s="64">
        <v>9853459824</v>
      </c>
      <c r="R11" s="66"/>
      <c r="S11" s="66"/>
      <c r="T11" s="67">
        <f>SUM(VigenciasFuturas34[[#This Row],[2026]:[2028]])</f>
        <v>9853459824</v>
      </c>
      <c r="U11" s="67">
        <f>VigenciasFuturas34[[#This Row],[2025]]+VigenciasFuturas34[[#This Row],[TOTAL CONSTANTES]]</f>
        <v>17465257538</v>
      </c>
      <c r="V11" s="20" t="s">
        <v>71</v>
      </c>
      <c r="W11" s="20" t="s">
        <v>72</v>
      </c>
      <c r="X11" s="79">
        <v>45763</v>
      </c>
      <c r="Y11" s="82" t="s">
        <v>73</v>
      </c>
      <c r="Z11">
        <f t="shared" si="0"/>
        <v>120804458885.25</v>
      </c>
    </row>
    <row r="12" spans="1:28" x14ac:dyDescent="0.25">
      <c r="A12" s="189">
        <v>5</v>
      </c>
      <c r="B12" s="5" t="s">
        <v>74</v>
      </c>
      <c r="C12" s="8" t="s">
        <v>75</v>
      </c>
      <c r="D12" s="8" t="s">
        <v>91</v>
      </c>
      <c r="E12" s="8" t="s">
        <v>92</v>
      </c>
      <c r="F12" s="13" t="s">
        <v>78</v>
      </c>
      <c r="G12" s="8" t="s">
        <v>93</v>
      </c>
      <c r="H12" s="136" t="s">
        <v>8</v>
      </c>
      <c r="I12" s="137">
        <v>290009</v>
      </c>
      <c r="J12" s="64">
        <v>5287500000</v>
      </c>
      <c r="K12" s="64">
        <v>5400000000</v>
      </c>
      <c r="L12" s="64">
        <v>6750000000</v>
      </c>
      <c r="M12" s="64"/>
      <c r="N12" s="64">
        <f>SUM(VigenciasFuturas34[[#This Row],[Recursos vigencia futura 2026]:[Recursos vigencia futura 2028]])</f>
        <v>12150000000</v>
      </c>
      <c r="O12" s="65">
        <f>VigenciasFuturas34[[#This Row],[TOTAL CORRIENTES]]+VigenciasFuturas34[[#This Row],[Recursos disponibles 2025]]</f>
        <v>17437500000</v>
      </c>
      <c r="P12" s="64">
        <v>5287500000</v>
      </c>
      <c r="Q12" s="64">
        <v>5242718447</v>
      </c>
      <c r="R12" s="66">
        <v>6362522387</v>
      </c>
      <c r="S12" s="66"/>
      <c r="T12" s="67">
        <f>SUM(VigenciasFuturas34[[#This Row],[2026]:[2028]])</f>
        <v>11605240834</v>
      </c>
      <c r="U12" s="67">
        <f>VigenciasFuturas34[[#This Row],[2025]]+VigenciasFuturas34[[#This Row],[TOTAL CONSTANTES]]</f>
        <v>16892740834</v>
      </c>
      <c r="V12" s="20" t="s">
        <v>71</v>
      </c>
      <c r="W12" s="20" t="s">
        <v>72</v>
      </c>
      <c r="X12" s="79">
        <v>45763</v>
      </c>
      <c r="Y12" s="82" t="s">
        <v>73</v>
      </c>
      <c r="Z12">
        <f t="shared" si="0"/>
        <v>110655395266.5</v>
      </c>
    </row>
    <row r="13" spans="1:28" x14ac:dyDescent="0.25">
      <c r="A13" s="190"/>
      <c r="B13" s="5" t="s">
        <v>81</v>
      </c>
      <c r="C13" s="11" t="s">
        <v>82</v>
      </c>
      <c r="D13" s="8" t="s">
        <v>83</v>
      </c>
      <c r="E13" s="8" t="s">
        <v>94</v>
      </c>
      <c r="F13" s="8" t="s">
        <v>69</v>
      </c>
      <c r="G13" s="8" t="s">
        <v>93</v>
      </c>
      <c r="H13" s="136" t="s">
        <v>8</v>
      </c>
      <c r="I13" s="137">
        <v>314027</v>
      </c>
      <c r="J13" s="64">
        <v>1762500000</v>
      </c>
      <c r="K13" s="64">
        <v>1800000000</v>
      </c>
      <c r="L13" s="64">
        <v>2250000000</v>
      </c>
      <c r="M13" s="64"/>
      <c r="N13" s="64">
        <f>SUM(VigenciasFuturas34[[#This Row],[Recursos vigencia futura 2026]:[Recursos vigencia futura 2028]])</f>
        <v>4050000000</v>
      </c>
      <c r="O13" s="65">
        <f>VigenciasFuturas34[[#This Row],[TOTAL CORRIENTES]]+VigenciasFuturas34[[#This Row],[Recursos disponibles 2025]]</f>
        <v>5812500000</v>
      </c>
      <c r="P13" s="64">
        <v>1762500000</v>
      </c>
      <c r="Q13" s="64">
        <v>1747572816</v>
      </c>
      <c r="R13" s="66">
        <v>2120840796</v>
      </c>
      <c r="S13" s="66"/>
      <c r="T13" s="67">
        <f>SUM(VigenciasFuturas34[[#This Row],[2026]:[2028]])</f>
        <v>3868413612</v>
      </c>
      <c r="U13" s="67">
        <f>VigenciasFuturas34[[#This Row],[2025]]+VigenciasFuturas34[[#This Row],[TOTAL CONSTANTES]]</f>
        <v>5630913612</v>
      </c>
      <c r="V13" s="20" t="s">
        <v>71</v>
      </c>
      <c r="W13" s="20" t="s">
        <v>72</v>
      </c>
      <c r="X13" s="79">
        <v>45763</v>
      </c>
      <c r="Y13" s="82" t="s">
        <v>73</v>
      </c>
      <c r="Z13">
        <f t="shared" si="0"/>
        <v>105255395266.5</v>
      </c>
    </row>
    <row r="14" spans="1:28" x14ac:dyDescent="0.25">
      <c r="A14" s="190"/>
      <c r="B14" s="5" t="s">
        <v>74</v>
      </c>
      <c r="C14" s="8" t="s">
        <v>75</v>
      </c>
      <c r="D14" s="8" t="s">
        <v>91</v>
      </c>
      <c r="E14" s="8" t="s">
        <v>92</v>
      </c>
      <c r="F14" s="13" t="s">
        <v>78</v>
      </c>
      <c r="G14" s="8" t="s">
        <v>95</v>
      </c>
      <c r="H14" s="136" t="s">
        <v>8</v>
      </c>
      <c r="I14" s="137">
        <v>290009</v>
      </c>
      <c r="J14" s="64">
        <v>418500000</v>
      </c>
      <c r="K14" s="64">
        <v>837000000</v>
      </c>
      <c r="L14" s="64">
        <v>837000000</v>
      </c>
      <c r="M14" s="64"/>
      <c r="N14" s="64">
        <f>SUM(VigenciasFuturas34[[#This Row],[Recursos vigencia futura 2026]:[Recursos vigencia futura 2028]])</f>
        <v>1674000000</v>
      </c>
      <c r="O14" s="65">
        <f>VigenciasFuturas34[[#This Row],[TOTAL CORRIENTES]]+VigenciasFuturas34[[#This Row],[Recursos disponibles 2025]]</f>
        <v>2092500000</v>
      </c>
      <c r="P14" s="64">
        <v>418500000</v>
      </c>
      <c r="Q14" s="64">
        <v>812621359</v>
      </c>
      <c r="R14" s="66">
        <v>788952776</v>
      </c>
      <c r="S14" s="66"/>
      <c r="T14" s="67">
        <f>SUM(VigenciasFuturas34[[#This Row],[2026]:[2028]])</f>
        <v>1601574135</v>
      </c>
      <c r="U14" s="67">
        <f>VigenciasFuturas34[[#This Row],[2025]]+VigenciasFuturas34[[#This Row],[TOTAL CONSTANTES]]</f>
        <v>2020074135</v>
      </c>
      <c r="V14" s="20" t="s">
        <v>71</v>
      </c>
      <c r="W14" s="20" t="s">
        <v>72</v>
      </c>
      <c r="X14" s="79">
        <v>45763</v>
      </c>
      <c r="Y14" s="82" t="s">
        <v>73</v>
      </c>
      <c r="Z14">
        <f t="shared" si="0"/>
        <v>103455395266.5</v>
      </c>
    </row>
    <row r="15" spans="1:28" x14ac:dyDescent="0.25">
      <c r="A15" s="191"/>
      <c r="B15" s="5" t="s">
        <v>81</v>
      </c>
      <c r="C15" s="11" t="s">
        <v>82</v>
      </c>
      <c r="D15" s="8" t="s">
        <v>83</v>
      </c>
      <c r="E15" s="8" t="s">
        <v>94</v>
      </c>
      <c r="F15" s="8" t="s">
        <v>69</v>
      </c>
      <c r="G15" s="8" t="s">
        <v>95</v>
      </c>
      <c r="H15" s="136" t="s">
        <v>8</v>
      </c>
      <c r="I15" s="137">
        <v>314028</v>
      </c>
      <c r="J15" s="64">
        <v>139500000</v>
      </c>
      <c r="K15" s="64">
        <v>279000000</v>
      </c>
      <c r="L15" s="64">
        <v>279000000</v>
      </c>
      <c r="M15" s="64"/>
      <c r="N15" s="64">
        <f>SUM(VigenciasFuturas34[[#This Row],[Recursos vigencia futura 2026]:[Recursos vigencia futura 2028]])</f>
        <v>558000000</v>
      </c>
      <c r="O15" s="65">
        <f>VigenciasFuturas34[[#This Row],[TOTAL CORRIENTES]]+VigenciasFuturas34[[#This Row],[Recursos disponibles 2025]]</f>
        <v>697500000</v>
      </c>
      <c r="P15" s="64">
        <v>139500000</v>
      </c>
      <c r="Q15" s="64">
        <v>270873786</v>
      </c>
      <c r="R15" s="66">
        <v>262984259</v>
      </c>
      <c r="S15" s="66"/>
      <c r="T15" s="67">
        <f>SUM(VigenciasFuturas34[[#This Row],[2026]:[2028]])</f>
        <v>533858045</v>
      </c>
      <c r="U15" s="67">
        <f>VigenciasFuturas34[[#This Row],[2025]]+VigenciasFuturas34[[#This Row],[TOTAL CONSTANTES]]</f>
        <v>673358045</v>
      </c>
      <c r="V15" s="20" t="s">
        <v>71</v>
      </c>
      <c r="W15" s="20" t="s">
        <v>72</v>
      </c>
      <c r="X15" s="79">
        <v>45763</v>
      </c>
      <c r="Y15" s="82" t="s">
        <v>73</v>
      </c>
      <c r="Z15">
        <f t="shared" si="0"/>
        <v>102618395266.5</v>
      </c>
    </row>
    <row r="16" spans="1:28" ht="15" customHeight="1" x14ac:dyDescent="0.25">
      <c r="A16" s="189">
        <v>6</v>
      </c>
      <c r="B16" s="5" t="s">
        <v>74</v>
      </c>
      <c r="C16" s="8" t="s">
        <v>75</v>
      </c>
      <c r="D16" s="8" t="s">
        <v>91</v>
      </c>
      <c r="E16" s="8" t="s">
        <v>96</v>
      </c>
      <c r="F16" s="13" t="s">
        <v>78</v>
      </c>
      <c r="G16" s="8" t="s">
        <v>97</v>
      </c>
      <c r="H16" s="136" t="s">
        <v>9</v>
      </c>
      <c r="I16" s="137">
        <v>290015</v>
      </c>
      <c r="J16" s="64">
        <v>102782654</v>
      </c>
      <c r="K16" s="64">
        <v>223260738</v>
      </c>
      <c r="L16" s="64">
        <v>223260738</v>
      </c>
      <c r="M16" s="64"/>
      <c r="N16" s="64">
        <f>SUM(VigenciasFuturas34[[#This Row],[Recursos vigencia futura 2026]:[Recursos vigencia futura 2028]])</f>
        <v>446521476</v>
      </c>
      <c r="O16" s="65">
        <f>VigenciasFuturas34[[#This Row],[TOTAL CORRIENTES]]+VigenciasFuturas34[[#This Row],[Recursos disponibles 2025]]</f>
        <v>549304130</v>
      </c>
      <c r="P16" s="64">
        <v>102782654</v>
      </c>
      <c r="Q16" s="64">
        <v>216757998</v>
      </c>
      <c r="R16" s="66">
        <v>210444658</v>
      </c>
      <c r="S16" s="66"/>
      <c r="T16" s="67">
        <f>SUM(VigenciasFuturas34[[#This Row],[2026]:[2028]])</f>
        <v>427202656</v>
      </c>
      <c r="U16" s="67">
        <f>VigenciasFuturas34[[#This Row],[2025]]+VigenciasFuturas34[[#This Row],[TOTAL CONSTANTES]]</f>
        <v>529985310</v>
      </c>
      <c r="V16" s="20" t="s">
        <v>71</v>
      </c>
      <c r="W16" s="20" t="s">
        <v>72</v>
      </c>
      <c r="X16" s="79">
        <v>45763</v>
      </c>
      <c r="Y16" s="82" t="s">
        <v>73</v>
      </c>
      <c r="Z16">
        <f t="shared" si="0"/>
        <v>102339395266.5</v>
      </c>
    </row>
    <row r="17" spans="1:28" x14ac:dyDescent="0.25">
      <c r="A17" s="191"/>
      <c r="B17" s="5" t="s">
        <v>81</v>
      </c>
      <c r="C17" s="11" t="s">
        <v>82</v>
      </c>
      <c r="D17" s="8" t="s">
        <v>83</v>
      </c>
      <c r="E17" s="8" t="s">
        <v>96</v>
      </c>
      <c r="F17" s="8" t="s">
        <v>98</v>
      </c>
      <c r="G17" s="8" t="s">
        <v>97</v>
      </c>
      <c r="H17" s="136" t="s">
        <v>9</v>
      </c>
      <c r="I17" s="137">
        <v>314029</v>
      </c>
      <c r="J17" s="64">
        <v>79262429</v>
      </c>
      <c r="K17" s="64">
        <v>172170964</v>
      </c>
      <c r="L17" s="64">
        <v>172170964</v>
      </c>
      <c r="M17" s="64"/>
      <c r="N17" s="64">
        <f>SUM(VigenciasFuturas34[[#This Row],[Recursos vigencia futura 2026]:[Recursos vigencia futura 2028]])</f>
        <v>344341928</v>
      </c>
      <c r="O17" s="65">
        <f>VigenciasFuturas34[[#This Row],[TOTAL CORRIENTES]]+VigenciasFuturas34[[#This Row],[Recursos disponibles 2025]]</f>
        <v>423604357</v>
      </c>
      <c r="P17" s="64">
        <v>79262429</v>
      </c>
      <c r="Q17" s="64">
        <v>167156276</v>
      </c>
      <c r="R17" s="66">
        <v>162287646</v>
      </c>
      <c r="S17" s="66"/>
      <c r="T17" s="67">
        <f>SUM(VigenciasFuturas34[[#This Row],[2026]:[2028]])</f>
        <v>329443922</v>
      </c>
      <c r="U17" s="67">
        <f>VigenciasFuturas34[[#This Row],[2025]]+VigenciasFuturas34[[#This Row],[TOTAL CONSTANTES]]</f>
        <v>408706351</v>
      </c>
      <c r="V17" s="20" t="s">
        <v>71</v>
      </c>
      <c r="W17" s="20" t="s">
        <v>72</v>
      </c>
      <c r="X17" s="79">
        <v>45763</v>
      </c>
      <c r="Y17" s="82" t="s">
        <v>73</v>
      </c>
      <c r="Z17">
        <f t="shared" si="0"/>
        <v>102116134528.5</v>
      </c>
    </row>
    <row r="18" spans="1:28" ht="15" customHeight="1" x14ac:dyDescent="0.25">
      <c r="A18" s="194">
        <v>7</v>
      </c>
      <c r="B18" s="5" t="s">
        <v>81</v>
      </c>
      <c r="C18" s="11" t="s">
        <v>82</v>
      </c>
      <c r="D18" s="8" t="s">
        <v>83</v>
      </c>
      <c r="E18" s="8" t="s">
        <v>94</v>
      </c>
      <c r="F18" s="8" t="s">
        <v>69</v>
      </c>
      <c r="G18" s="8" t="s">
        <v>99</v>
      </c>
      <c r="H18" s="136" t="s">
        <v>10</v>
      </c>
      <c r="I18" s="137">
        <v>314027</v>
      </c>
      <c r="J18" s="64">
        <v>852578874</v>
      </c>
      <c r="K18" s="64">
        <v>1756312476</v>
      </c>
      <c r="L18" s="64">
        <v>1809001848.4000001</v>
      </c>
      <c r="M18" s="64"/>
      <c r="N18" s="64">
        <f>SUM(VigenciasFuturas34[[#This Row],[Recursos vigencia futura 2026]:[Recursos vigencia futura 2028]])</f>
        <v>3565314324.4000001</v>
      </c>
      <c r="O18" s="65">
        <f>VigenciasFuturas34[[#This Row],[TOTAL CORRIENTES]]+VigenciasFuturas34[[#This Row],[Recursos disponibles 2025]]</f>
        <v>4417893198.3999996</v>
      </c>
      <c r="P18" s="64">
        <v>852578874</v>
      </c>
      <c r="Q18" s="64">
        <v>1705157744</v>
      </c>
      <c r="R18" s="66">
        <v>1705157742</v>
      </c>
      <c r="S18" s="66"/>
      <c r="T18" s="67">
        <f>SUM(VigenciasFuturas34[[#This Row],[2026]:[2028]])</f>
        <v>3410315486</v>
      </c>
      <c r="U18" s="67">
        <f>VigenciasFuturas34[[#This Row],[2025]]+VigenciasFuturas34[[#This Row],[TOTAL CONSTANTES]]</f>
        <v>4262894360</v>
      </c>
      <c r="V18" s="20" t="s">
        <v>71</v>
      </c>
      <c r="W18" s="20" t="s">
        <v>72</v>
      </c>
      <c r="X18" s="79">
        <v>45763</v>
      </c>
      <c r="Y18" s="82" t="s">
        <v>73</v>
      </c>
      <c r="Z18">
        <f t="shared" si="0"/>
        <v>101943963564.5</v>
      </c>
    </row>
    <row r="19" spans="1:28" x14ac:dyDescent="0.25">
      <c r="A19" s="195"/>
      <c r="B19" s="5" t="s">
        <v>81</v>
      </c>
      <c r="C19" s="11" t="s">
        <v>82</v>
      </c>
      <c r="D19" s="8" t="s">
        <v>83</v>
      </c>
      <c r="E19" s="8" t="s">
        <v>100</v>
      </c>
      <c r="F19" s="8" t="s">
        <v>69</v>
      </c>
      <c r="G19" s="8" t="s">
        <v>101</v>
      </c>
      <c r="H19" s="136" t="s">
        <v>10</v>
      </c>
      <c r="I19" s="137">
        <v>314028</v>
      </c>
      <c r="J19" s="64">
        <v>178883558</v>
      </c>
      <c r="K19" s="64">
        <v>340691080.5</v>
      </c>
      <c r="L19" s="64">
        <v>319825067.60000002</v>
      </c>
      <c r="M19" s="64"/>
      <c r="N19" s="64">
        <f>SUM(VigenciasFuturas34[[#This Row],[Recursos vigencia futura 2026]:[Recursos vigencia futura 2028]])</f>
        <v>660516148.10000002</v>
      </c>
      <c r="O19" s="65">
        <f>VigenciasFuturas34[[#This Row],[TOTAL CORRIENTES]]+VigenciasFuturas34[[#This Row],[Recursos disponibles 2025]]</f>
        <v>839399706.10000002</v>
      </c>
      <c r="P19" s="64">
        <v>178883558</v>
      </c>
      <c r="Q19" s="64">
        <v>330768039</v>
      </c>
      <c r="R19" s="66">
        <v>301465800</v>
      </c>
      <c r="S19" s="66"/>
      <c r="T19" s="67">
        <f>SUM(VigenciasFuturas34[[#This Row],[2026]:[2028]])</f>
        <v>632233839</v>
      </c>
      <c r="U19" s="67">
        <f>VigenciasFuturas34[[#This Row],[2025]]+VigenciasFuturas34[[#This Row],[TOTAL CONSTANTES]]</f>
        <v>811117397</v>
      </c>
      <c r="V19" s="20" t="s">
        <v>71</v>
      </c>
      <c r="W19" s="20" t="s">
        <v>72</v>
      </c>
      <c r="X19" s="79">
        <v>45763</v>
      </c>
      <c r="Y19" s="82" t="s">
        <v>73</v>
      </c>
      <c r="Z19">
        <f t="shared" si="0"/>
        <v>100187651088.5</v>
      </c>
    </row>
    <row r="20" spans="1:28" ht="15" customHeight="1" x14ac:dyDescent="0.25">
      <c r="A20" s="15">
        <v>8</v>
      </c>
      <c r="B20" s="5" t="s">
        <v>81</v>
      </c>
      <c r="C20" s="11" t="s">
        <v>82</v>
      </c>
      <c r="D20" s="11" t="s">
        <v>88</v>
      </c>
      <c r="E20" s="11" t="s">
        <v>102</v>
      </c>
      <c r="F20" s="11" t="s">
        <v>69</v>
      </c>
      <c r="G20" s="8" t="s">
        <v>103</v>
      </c>
      <c r="H20" s="136" t="s">
        <v>11</v>
      </c>
      <c r="I20" s="137">
        <v>314038</v>
      </c>
      <c r="J20" s="64">
        <v>7284549394</v>
      </c>
      <c r="K20" s="64">
        <v>13782036055</v>
      </c>
      <c r="L20" s="64">
        <v>15340190128</v>
      </c>
      <c r="M20" s="64"/>
      <c r="N20" s="64">
        <f>SUM(VigenciasFuturas34[[#This Row],[Recursos vigencia futura 2026]:[Recursos vigencia futura 2028]])</f>
        <v>29122226183</v>
      </c>
      <c r="O20" s="65">
        <f>VigenciasFuturas34[[#This Row],[TOTAL CORRIENTES]]+VigenciasFuturas34[[#This Row],[Recursos disponibles 2025]]</f>
        <v>36406775577</v>
      </c>
      <c r="P20" s="64">
        <v>7284549394</v>
      </c>
      <c r="Q20" s="64">
        <v>13380617529</v>
      </c>
      <c r="R20" s="66">
        <v>14459600460</v>
      </c>
      <c r="S20" s="66"/>
      <c r="T20" s="67">
        <f>SUM(VigenciasFuturas34[[#This Row],[2026]:[2028]])</f>
        <v>27840217989</v>
      </c>
      <c r="U20" s="67">
        <f>VigenciasFuturas34[[#This Row],[2025]]+VigenciasFuturas34[[#This Row],[TOTAL CONSTANTES]]</f>
        <v>35124767383</v>
      </c>
      <c r="V20" s="20" t="s">
        <v>71</v>
      </c>
      <c r="W20" s="20" t="s">
        <v>72</v>
      </c>
      <c r="X20" s="79">
        <v>45763</v>
      </c>
      <c r="Y20" s="82" t="s">
        <v>73</v>
      </c>
      <c r="Z20">
        <f t="shared" si="0"/>
        <v>99846960008</v>
      </c>
    </row>
    <row r="21" spans="1:28" x14ac:dyDescent="0.25">
      <c r="B21" s="12" t="s">
        <v>104</v>
      </c>
      <c r="C21" s="13" t="s">
        <v>105</v>
      </c>
      <c r="D21" s="13" t="s">
        <v>105</v>
      </c>
      <c r="E21" s="13" t="s">
        <v>106</v>
      </c>
      <c r="F21" s="13" t="s">
        <v>69</v>
      </c>
      <c r="G21" s="8" t="s">
        <v>103</v>
      </c>
      <c r="H21" s="136" t="s">
        <v>11</v>
      </c>
      <c r="I21" s="137" t="s">
        <v>107</v>
      </c>
      <c r="J21" s="64">
        <v>956425076</v>
      </c>
      <c r="K21" s="64">
        <v>1809512732</v>
      </c>
      <c r="L21" s="64">
        <v>2014090605</v>
      </c>
      <c r="M21" s="64"/>
      <c r="N21" s="64">
        <f>SUM(VigenciasFuturas34[[#This Row],[Recursos vigencia futura 2026]:[Recursos vigencia futura 2028]])</f>
        <v>3823603337</v>
      </c>
      <c r="O21" s="65">
        <f>VigenciasFuturas34[[#This Row],[TOTAL CORRIENTES]]+VigenciasFuturas34[[#This Row],[Recursos disponibles 2025]]</f>
        <v>4780028413</v>
      </c>
      <c r="P21" s="64">
        <v>956425076</v>
      </c>
      <c r="Q21" s="64">
        <v>1756808478</v>
      </c>
      <c r="R21" s="66">
        <v>1898473565</v>
      </c>
      <c r="S21" s="66"/>
      <c r="T21" s="67">
        <f>SUM(VigenciasFuturas34[[#This Row],[2026]:[2028]])</f>
        <v>3655282043</v>
      </c>
      <c r="U21" s="67">
        <f>VigenciasFuturas34[[#This Row],[2025]]+VigenciasFuturas34[[#This Row],[TOTAL CONSTANTES]]</f>
        <v>4611707119</v>
      </c>
      <c r="V21" s="20" t="s">
        <v>71</v>
      </c>
      <c r="W21" s="20" t="s">
        <v>72</v>
      </c>
      <c r="X21" s="79">
        <v>45763</v>
      </c>
      <c r="Y21" s="82" t="s">
        <v>73</v>
      </c>
      <c r="Z21">
        <f t="shared" si="0"/>
        <v>86064923953</v>
      </c>
    </row>
    <row r="22" spans="1:28" ht="15" customHeight="1" x14ac:dyDescent="0.25">
      <c r="A22" s="197">
        <v>9</v>
      </c>
      <c r="B22" s="5" t="s">
        <v>81</v>
      </c>
      <c r="C22" s="11" t="s">
        <v>82</v>
      </c>
      <c r="D22" s="11" t="s">
        <v>88</v>
      </c>
      <c r="E22" s="11" t="s">
        <v>108</v>
      </c>
      <c r="F22" s="11" t="s">
        <v>69</v>
      </c>
      <c r="G22" s="8" t="s">
        <v>109</v>
      </c>
      <c r="H22" s="136" t="s">
        <v>12</v>
      </c>
      <c r="I22" s="137">
        <v>314018</v>
      </c>
      <c r="J22" s="64">
        <v>3014555078</v>
      </c>
      <c r="K22" s="64">
        <v>5658750528</v>
      </c>
      <c r="L22" s="64">
        <v>6196331827</v>
      </c>
      <c r="M22" s="64"/>
      <c r="N22" s="64">
        <f>SUM(VigenciasFuturas34[[#This Row],[Recursos vigencia futura 2026]:[Recursos vigencia futura 2028]])</f>
        <v>11855082355</v>
      </c>
      <c r="O22" s="65">
        <f>VigenciasFuturas34[[#This Row],[TOTAL CORRIENTES]]+VigenciasFuturas34[[#This Row],[Recursos disponibles 2025]]</f>
        <v>14869637433</v>
      </c>
      <c r="P22" s="64">
        <v>3014555078</v>
      </c>
      <c r="Q22" s="64">
        <v>5493932551</v>
      </c>
      <c r="R22" s="66">
        <v>5840637032</v>
      </c>
      <c r="S22" s="66"/>
      <c r="T22" s="67">
        <f>SUM(VigenciasFuturas34[[#This Row],[2026]:[2028]])</f>
        <v>11334569583</v>
      </c>
      <c r="U22" s="67">
        <f>VigenciasFuturas34[[#This Row],[2025]]+VigenciasFuturas34[[#This Row],[TOTAL CONSTANTES]]</f>
        <v>14349124661</v>
      </c>
      <c r="V22" s="20" t="s">
        <v>71</v>
      </c>
      <c r="W22" s="20" t="s">
        <v>72</v>
      </c>
      <c r="X22" s="79">
        <v>45763</v>
      </c>
      <c r="Y22" s="82" t="s">
        <v>73</v>
      </c>
      <c r="Z22">
        <f t="shared" si="0"/>
        <v>84255411221</v>
      </c>
    </row>
    <row r="23" spans="1:28" x14ac:dyDescent="0.25">
      <c r="A23" s="197"/>
      <c r="B23" s="12" t="s">
        <v>110</v>
      </c>
      <c r="C23" s="13" t="s">
        <v>105</v>
      </c>
      <c r="D23" s="34" t="s">
        <v>105</v>
      </c>
      <c r="E23" s="34" t="s">
        <v>111</v>
      </c>
      <c r="F23" s="34" t="s">
        <v>69</v>
      </c>
      <c r="G23" s="23" t="s">
        <v>109</v>
      </c>
      <c r="H23" s="136" t="s">
        <v>12</v>
      </c>
      <c r="I23" s="138" t="s">
        <v>107</v>
      </c>
      <c r="J23" s="68">
        <v>1034106868</v>
      </c>
      <c r="K23" s="68">
        <v>1941166320</v>
      </c>
      <c r="L23" s="68">
        <v>2125577129</v>
      </c>
      <c r="M23" s="68"/>
      <c r="N23" s="68">
        <f>SUM(VigenciasFuturas34[[#This Row],[Recursos vigencia futura 2026]:[Recursos vigencia futura 2028]])</f>
        <v>4066743449</v>
      </c>
      <c r="O23" s="69">
        <f>VigenciasFuturas34[[#This Row],[TOTAL CORRIENTES]]+VigenciasFuturas34[[#This Row],[Recursos disponibles 2025]]</f>
        <v>5100850317</v>
      </c>
      <c r="P23" s="68">
        <v>1034106868</v>
      </c>
      <c r="Q23" s="68">
        <v>1884627495</v>
      </c>
      <c r="R23" s="70">
        <v>2003560306</v>
      </c>
      <c r="S23" s="70"/>
      <c r="T23" s="71">
        <f>SUM(VigenciasFuturas34[[#This Row],[2026]:[2028]])</f>
        <v>3888187801</v>
      </c>
      <c r="U23" s="67">
        <f>VigenciasFuturas34[[#This Row],[2025]]+VigenciasFuturas34[[#This Row],[TOTAL CONSTANTES]]</f>
        <v>4922294669</v>
      </c>
      <c r="V23" s="20" t="s">
        <v>71</v>
      </c>
      <c r="W23" s="20" t="s">
        <v>72</v>
      </c>
      <c r="X23" s="79">
        <v>45763</v>
      </c>
      <c r="Y23" s="82" t="s">
        <v>73</v>
      </c>
      <c r="Z23">
        <f t="shared" si="0"/>
        <v>78596660693</v>
      </c>
    </row>
    <row r="24" spans="1:28" x14ac:dyDescent="0.25">
      <c r="A24" s="16">
        <v>10</v>
      </c>
      <c r="B24" s="5" t="s">
        <v>112</v>
      </c>
      <c r="C24" s="31" t="s">
        <v>113</v>
      </c>
      <c r="D24" s="35" t="s">
        <v>114</v>
      </c>
      <c r="E24" s="35" t="s">
        <v>84</v>
      </c>
      <c r="F24" s="35" t="s">
        <v>69</v>
      </c>
      <c r="G24" s="35" t="s">
        <v>115</v>
      </c>
      <c r="H24" s="139" t="s">
        <v>13</v>
      </c>
      <c r="I24" s="140">
        <v>296011</v>
      </c>
      <c r="J24" s="64">
        <v>4944000000</v>
      </c>
      <c r="K24" s="64">
        <v>7638480000</v>
      </c>
      <c r="L24" s="64">
        <v>7867634400</v>
      </c>
      <c r="M24" s="64"/>
      <c r="N24" s="64">
        <f>SUM(VigenciasFuturas34[[#This Row],[Recursos vigencia futura 2026]:[Recursos vigencia futura 2028]])</f>
        <v>15506114400</v>
      </c>
      <c r="O24" s="65">
        <f>VigenciasFuturas34[[#This Row],[TOTAL CORRIENTES]]+VigenciasFuturas34[[#This Row],[Recursos disponibles 2025]]</f>
        <v>20450114400</v>
      </c>
      <c r="P24" s="64">
        <f>VigenciasFuturas34[[#This Row],[Recursos disponibles 2025]]</f>
        <v>4944000000</v>
      </c>
      <c r="Q24" s="64">
        <v>7416000000</v>
      </c>
      <c r="R24" s="66">
        <v>7416000000</v>
      </c>
      <c r="S24" s="66"/>
      <c r="T24" s="67">
        <f>SUM(VigenciasFuturas34[[#This Row],[2026]:[2028]])</f>
        <v>14832000000</v>
      </c>
      <c r="U24" s="67">
        <f>VigenciasFuturas34[[#This Row],[2025]]+VigenciasFuturas34[[#This Row],[TOTAL CONSTANTES]]</f>
        <v>19776000000</v>
      </c>
      <c r="V24" s="20" t="s">
        <v>71</v>
      </c>
      <c r="W24" s="20" t="s">
        <v>72</v>
      </c>
      <c r="X24" s="79">
        <v>45763</v>
      </c>
      <c r="Y24" s="82" t="s">
        <v>73</v>
      </c>
      <c r="Z24">
        <f t="shared" si="0"/>
        <v>76655494373</v>
      </c>
    </row>
    <row r="25" spans="1:28" x14ac:dyDescent="0.25">
      <c r="A25" s="189">
        <v>11</v>
      </c>
      <c r="B25" s="5" t="s">
        <v>81</v>
      </c>
      <c r="C25" s="32" t="s">
        <v>82</v>
      </c>
      <c r="D25" s="36" t="s">
        <v>88</v>
      </c>
      <c r="E25" s="36" t="s">
        <v>116</v>
      </c>
      <c r="F25" s="36" t="s">
        <v>69</v>
      </c>
      <c r="G25" s="35" t="s">
        <v>117</v>
      </c>
      <c r="H25" s="141" t="s">
        <v>14</v>
      </c>
      <c r="I25" s="30">
        <v>314048</v>
      </c>
      <c r="J25" s="64">
        <v>688974531</v>
      </c>
      <c r="K25" s="64">
        <v>1055408243</v>
      </c>
      <c r="L25" s="64">
        <v>1087070490</v>
      </c>
      <c r="M25" s="64"/>
      <c r="N25" s="64">
        <f>SUM(VigenciasFuturas34[[#This Row],[Recursos vigencia futura 2026]:[Recursos vigencia futura 2028]])</f>
        <v>2142478733</v>
      </c>
      <c r="O25" s="65">
        <f>VigenciasFuturas34[[#This Row],[TOTAL CORRIENTES]]+VigenciasFuturas34[[#This Row],[Recursos disponibles 2025]]</f>
        <v>2831453264</v>
      </c>
      <c r="P25" s="64">
        <v>688974531</v>
      </c>
      <c r="Q25" s="64">
        <v>1024668197</v>
      </c>
      <c r="R25" s="64">
        <v>1024668197</v>
      </c>
      <c r="S25" s="64"/>
      <c r="T25" s="67">
        <f>SUM(VigenciasFuturas34[[#This Row],[2026]:[2028]])</f>
        <v>2049336394</v>
      </c>
      <c r="U25" s="67">
        <f>VigenciasFuturas34[[#This Row],[2025]]+VigenciasFuturas34[[#This Row],[TOTAL CONSTANTES]]</f>
        <v>2738310925</v>
      </c>
      <c r="V25" s="20" t="s">
        <v>71</v>
      </c>
      <c r="W25" s="20" t="s">
        <v>72</v>
      </c>
      <c r="X25" s="79">
        <v>45763</v>
      </c>
      <c r="Y25" s="82" t="s">
        <v>73</v>
      </c>
      <c r="Z25">
        <f t="shared" si="0"/>
        <v>69017014373</v>
      </c>
    </row>
    <row r="26" spans="1:28" x14ac:dyDescent="0.25">
      <c r="A26" s="190"/>
      <c r="B26" s="12" t="s">
        <v>118</v>
      </c>
      <c r="C26" s="33" t="s">
        <v>105</v>
      </c>
      <c r="D26" s="36" t="s">
        <v>105</v>
      </c>
      <c r="E26" s="36" t="s">
        <v>119</v>
      </c>
      <c r="F26" s="36" t="s">
        <v>69</v>
      </c>
      <c r="G26" s="35" t="s">
        <v>117</v>
      </c>
      <c r="H26" s="141" t="s">
        <v>14</v>
      </c>
      <c r="I26" s="30" t="s">
        <v>107</v>
      </c>
      <c r="J26" s="64">
        <v>134400000</v>
      </c>
      <c r="K26" s="64">
        <v>205881149</v>
      </c>
      <c r="L26" s="64">
        <v>212057583</v>
      </c>
      <c r="M26" s="64"/>
      <c r="N26" s="64">
        <f>SUM(VigenciasFuturas34[[#This Row],[Recursos vigencia futura 2026]:[Recursos vigencia futura 2028]])</f>
        <v>417938732</v>
      </c>
      <c r="O26" s="65">
        <f>VigenciasFuturas34[[#This Row],[TOTAL CORRIENTES]]+VigenciasFuturas34[[#This Row],[Recursos disponibles 2025]]</f>
        <v>552338732</v>
      </c>
      <c r="P26" s="64">
        <v>134400000</v>
      </c>
      <c r="Q26" s="64">
        <v>199884611</v>
      </c>
      <c r="R26" s="66">
        <v>199884610</v>
      </c>
      <c r="S26" s="66"/>
      <c r="T26" s="67">
        <f>SUM(VigenciasFuturas34[[#This Row],[2026]:[2028]])</f>
        <v>399769221</v>
      </c>
      <c r="U26" s="67">
        <f>VigenciasFuturas34[[#This Row],[2025]]+VigenciasFuturas34[[#This Row],[TOTAL CONSTANTES]]</f>
        <v>534169221</v>
      </c>
      <c r="V26" s="20" t="s">
        <v>71</v>
      </c>
      <c r="W26" s="20" t="s">
        <v>72</v>
      </c>
      <c r="X26" s="79">
        <v>45763</v>
      </c>
      <c r="Y26" s="82" t="s">
        <v>73</v>
      </c>
      <c r="Z26">
        <f t="shared" si="0"/>
        <v>67961606130</v>
      </c>
    </row>
    <row r="27" spans="1:28" x14ac:dyDescent="0.25">
      <c r="A27" s="5">
        <v>12</v>
      </c>
      <c r="B27" s="5" t="s">
        <v>81</v>
      </c>
      <c r="C27" s="32" t="s">
        <v>82</v>
      </c>
      <c r="D27" s="35" t="s">
        <v>120</v>
      </c>
      <c r="E27" s="35" t="s">
        <v>121</v>
      </c>
      <c r="F27" s="35" t="s">
        <v>69</v>
      </c>
      <c r="G27" s="35" t="s">
        <v>122</v>
      </c>
      <c r="H27" s="141" t="s">
        <v>15</v>
      </c>
      <c r="I27" s="30">
        <v>31039</v>
      </c>
      <c r="J27" s="65">
        <v>969110105</v>
      </c>
      <c r="K27" s="64">
        <v>3236279481</v>
      </c>
      <c r="L27" s="64">
        <v>3224136409</v>
      </c>
      <c r="M27" s="64"/>
      <c r="N27" s="64">
        <f>SUM(VigenciasFuturas34[[#This Row],[Recursos vigencia futura 2026]:[Recursos vigencia futura 2028]])</f>
        <v>6460415890</v>
      </c>
      <c r="O27" s="65">
        <f>VigenciasFuturas34[[#This Row],[TOTAL CORRIENTES]]+VigenciasFuturas34[[#This Row],[Recursos disponibles 2025]]</f>
        <v>7429525995</v>
      </c>
      <c r="P27" s="64">
        <v>969110105</v>
      </c>
      <c r="Q27" s="64">
        <v>3142018914</v>
      </c>
      <c r="R27" s="64">
        <v>3039057790</v>
      </c>
      <c r="S27" s="64"/>
      <c r="T27" s="67">
        <f>SUM(VigenciasFuturas34[[#This Row],[2026]:[2028]])</f>
        <v>6181076704</v>
      </c>
      <c r="U27" s="67">
        <f>VigenciasFuturas34[[#This Row],[2025]]+VigenciasFuturas34[[#This Row],[TOTAL CONSTANTES]]</f>
        <v>7150186809</v>
      </c>
      <c r="V27" s="20" t="s">
        <v>71</v>
      </c>
      <c r="W27" s="20" t="s">
        <v>72</v>
      </c>
      <c r="X27" s="79">
        <v>45763</v>
      </c>
      <c r="Y27" s="82" t="s">
        <v>73</v>
      </c>
      <c r="Z27">
        <f t="shared" si="0"/>
        <v>67755724981</v>
      </c>
    </row>
    <row r="28" spans="1:28" ht="15.75" x14ac:dyDescent="0.25">
      <c r="A28" s="24">
        <v>13</v>
      </c>
      <c r="B28" s="5" t="s">
        <v>65</v>
      </c>
      <c r="C28" s="32" t="s">
        <v>66</v>
      </c>
      <c r="D28" s="35" t="s">
        <v>67</v>
      </c>
      <c r="E28" s="35" t="s">
        <v>123</v>
      </c>
      <c r="F28" s="35" t="s">
        <v>69</v>
      </c>
      <c r="G28" s="35" t="s">
        <v>124</v>
      </c>
      <c r="H28" s="141" t="s">
        <v>16</v>
      </c>
      <c r="I28" s="142">
        <v>305015</v>
      </c>
      <c r="J28" s="65">
        <v>1367913840</v>
      </c>
      <c r="K28" s="64">
        <v>2536112256</v>
      </c>
      <c r="L28" s="64">
        <v>2690561496</v>
      </c>
      <c r="M28" s="64"/>
      <c r="N28" s="64">
        <f>SUM(VigenciasFuturas34[[#This Row],[Recursos vigencia futura 2026]:[Recursos vigencia futura 2028]])</f>
        <v>5226673752</v>
      </c>
      <c r="O28" s="65">
        <f>VigenciasFuturas34[[#This Row],[TOTAL CORRIENTES]]+VigenciasFuturas34[[#This Row],[Recursos disponibles 2025]]</f>
        <v>6594587592</v>
      </c>
      <c r="P28" s="64">
        <v>1367913840</v>
      </c>
      <c r="Q28" s="64">
        <v>2462244909</v>
      </c>
      <c r="R28" s="64">
        <v>2536112259</v>
      </c>
      <c r="S28" s="64"/>
      <c r="T28" s="67">
        <f>SUM(VigenciasFuturas34[[#This Row],[2026]:[2028]])</f>
        <v>4998357168</v>
      </c>
      <c r="U28" s="67">
        <f>VigenciasFuturas34[[#This Row],[2025]]+VigenciasFuturas34[[#This Row],[TOTAL CONSTANTES]]</f>
        <v>6366271008</v>
      </c>
      <c r="V28" s="20" t="s">
        <v>71</v>
      </c>
      <c r="W28" s="20" t="s">
        <v>72</v>
      </c>
      <c r="X28" s="79">
        <v>45763</v>
      </c>
      <c r="Y28" s="82" t="s">
        <v>73</v>
      </c>
      <c r="Z28">
        <f t="shared" si="0"/>
        <v>64519445500</v>
      </c>
    </row>
    <row r="29" spans="1:28" x14ac:dyDescent="0.25">
      <c r="A29" s="196">
        <v>14</v>
      </c>
      <c r="B29" s="28" t="s">
        <v>125</v>
      </c>
      <c r="C29" s="29" t="s">
        <v>75</v>
      </c>
      <c r="D29" s="37" t="s">
        <v>126</v>
      </c>
      <c r="E29" s="36" t="s">
        <v>127</v>
      </c>
      <c r="F29" s="36" t="s">
        <v>128</v>
      </c>
      <c r="G29" s="36" t="s">
        <v>129</v>
      </c>
      <c r="H29" s="143" t="s">
        <v>18</v>
      </c>
      <c r="I29" s="144">
        <v>290011</v>
      </c>
      <c r="J29" s="72">
        <v>493598400</v>
      </c>
      <c r="K29" s="72">
        <v>1015954272</v>
      </c>
      <c r="L29" s="72">
        <v>1068783894</v>
      </c>
      <c r="M29" s="72"/>
      <c r="N29" s="62">
        <f>SUM(VigenciasFuturas34[[#This Row],[Recursos vigencia futura 2026]:[Recursos vigencia futura 2028]])</f>
        <v>2084738166</v>
      </c>
      <c r="O29" s="60">
        <f>VigenciasFuturas34[[#This Row],[TOTAL CORRIENTES]]+VigenciasFuturas34[[#This Row],[Recursos disponibles 2025]]</f>
        <v>2578336566</v>
      </c>
      <c r="P29" s="72">
        <v>493598400</v>
      </c>
      <c r="Q29" s="72">
        <v>986363371</v>
      </c>
      <c r="R29" s="73">
        <v>1007431326</v>
      </c>
      <c r="S29" s="73"/>
      <c r="T29" s="62">
        <f>SUM(VigenciasFuturas34[[#This Row],[2026]:[2028]])</f>
        <v>1993794697</v>
      </c>
      <c r="U29" s="67">
        <f>VigenciasFuturas34[[#This Row],[2025]]+VigenciasFuturas34[[#This Row],[TOTAL CONSTANTES]]</f>
        <v>2487393097</v>
      </c>
      <c r="V29" s="20" t="s">
        <v>71</v>
      </c>
      <c r="W29" s="20" t="s">
        <v>130</v>
      </c>
      <c r="X29" s="80">
        <v>45793</v>
      </c>
      <c r="Y29" s="82" t="s">
        <v>131</v>
      </c>
      <c r="Z29">
        <f t="shared" si="0"/>
        <v>61983333244</v>
      </c>
      <c r="AA29">
        <f>SUBTOTAL(9,K29:K31)</f>
        <v>1256781504</v>
      </c>
      <c r="AB29">
        <v>2</v>
      </c>
    </row>
    <row r="30" spans="1:28" ht="15" customHeight="1" x14ac:dyDescent="0.25">
      <c r="A30" s="196"/>
      <c r="B30" s="28" t="s">
        <v>125</v>
      </c>
      <c r="C30" s="29" t="s">
        <v>75</v>
      </c>
      <c r="D30" s="37" t="s">
        <v>126</v>
      </c>
      <c r="E30" s="36" t="s">
        <v>127</v>
      </c>
      <c r="F30" s="36" t="s">
        <v>128</v>
      </c>
      <c r="G30" s="36" t="s">
        <v>132</v>
      </c>
      <c r="H30" s="143" t="s">
        <v>18</v>
      </c>
      <c r="I30" s="144">
        <v>290011</v>
      </c>
      <c r="J30" s="72">
        <v>95710813</v>
      </c>
      <c r="K30" s="72">
        <v>225140367</v>
      </c>
      <c r="L30" s="72">
        <v>236847666</v>
      </c>
      <c r="M30" s="72"/>
      <c r="N30" s="62">
        <f>SUM(VigenciasFuturas34[[#This Row],[Recursos vigencia futura 2026]:[Recursos vigencia futura 2028]])</f>
        <v>461988033</v>
      </c>
      <c r="O30" s="60">
        <f>VigenciasFuturas34[[#This Row],[TOTAL CORRIENTES]]+VigenciasFuturas34[[#This Row],[Recursos disponibles 2025]]</f>
        <v>557698846</v>
      </c>
      <c r="P30" s="72">
        <v>95710813</v>
      </c>
      <c r="Q30" s="72">
        <v>218582881</v>
      </c>
      <c r="R30" s="73">
        <v>223251641</v>
      </c>
      <c r="S30" s="73"/>
      <c r="T30" s="62">
        <f>SUM(VigenciasFuturas34[[#This Row],[2026]:[2028]])</f>
        <v>441834522</v>
      </c>
      <c r="U30" s="67">
        <f>VigenciasFuturas34[[#This Row],[2025]]+VigenciasFuturas34[[#This Row],[TOTAL CONSTANTES]]</f>
        <v>537545335</v>
      </c>
      <c r="V30" s="20" t="s">
        <v>71</v>
      </c>
      <c r="W30" s="20" t="s">
        <v>130</v>
      </c>
      <c r="X30" s="80">
        <v>45793</v>
      </c>
      <c r="Y30" s="82" t="s">
        <v>131</v>
      </c>
      <c r="Z30">
        <f t="shared" si="0"/>
        <v>60967378972</v>
      </c>
    </row>
    <row r="31" spans="1:28" ht="15" customHeight="1" x14ac:dyDescent="0.25">
      <c r="A31" s="196"/>
      <c r="B31" s="28" t="s">
        <v>125</v>
      </c>
      <c r="C31" s="29" t="s">
        <v>75</v>
      </c>
      <c r="D31" s="37" t="s">
        <v>126</v>
      </c>
      <c r="E31" s="36" t="s">
        <v>127</v>
      </c>
      <c r="F31" s="36" t="s">
        <v>128</v>
      </c>
      <c r="G31" s="36" t="s">
        <v>133</v>
      </c>
      <c r="H31" s="143" t="s">
        <v>18</v>
      </c>
      <c r="I31" s="144">
        <v>290011</v>
      </c>
      <c r="J31" s="72">
        <v>8532674</v>
      </c>
      <c r="K31" s="72">
        <v>15686865</v>
      </c>
      <c r="L31" s="72">
        <v>16502582</v>
      </c>
      <c r="M31" s="72"/>
      <c r="N31" s="62">
        <f>SUM(VigenciasFuturas34[[#This Row],[Recursos vigencia futura 2026]:[Recursos vigencia futura 2028]])</f>
        <v>32189447</v>
      </c>
      <c r="O31" s="60">
        <f>VigenciasFuturas34[[#This Row],[TOTAL CORRIENTES]]+VigenciasFuturas34[[#This Row],[Recursos disponibles 2025]]</f>
        <v>40722121</v>
      </c>
      <c r="P31" s="72">
        <v>8532674</v>
      </c>
      <c r="Q31" s="72">
        <v>15229966</v>
      </c>
      <c r="R31" s="73">
        <v>15555266</v>
      </c>
      <c r="S31" s="73"/>
      <c r="T31" s="62">
        <f>SUM(VigenciasFuturas34[[#This Row],[2026]:[2028]])</f>
        <v>30785232</v>
      </c>
      <c r="U31" s="67">
        <f>VigenciasFuturas34[[#This Row],[2025]]+VigenciasFuturas34[[#This Row],[TOTAL CONSTANTES]]</f>
        <v>39317906</v>
      </c>
      <c r="V31" s="20" t="s">
        <v>71</v>
      </c>
      <c r="W31" s="20" t="s">
        <v>130</v>
      </c>
      <c r="X31" s="80">
        <v>45793</v>
      </c>
      <c r="Y31" s="82" t="s">
        <v>131</v>
      </c>
      <c r="Z31">
        <f t="shared" si="0"/>
        <v>60742238605</v>
      </c>
    </row>
    <row r="32" spans="1:28" ht="15" customHeight="1" x14ac:dyDescent="0.25">
      <c r="A32" s="30">
        <v>15</v>
      </c>
      <c r="B32" s="28" t="s">
        <v>134</v>
      </c>
      <c r="C32" s="29" t="s">
        <v>135</v>
      </c>
      <c r="D32" s="37" t="s">
        <v>136</v>
      </c>
      <c r="E32" s="36" t="s">
        <v>137</v>
      </c>
      <c r="F32" s="36" t="s">
        <v>138</v>
      </c>
      <c r="G32" s="36" t="s">
        <v>139</v>
      </c>
      <c r="H32" s="143" t="s">
        <v>34</v>
      </c>
      <c r="I32" s="144">
        <v>312001</v>
      </c>
      <c r="J32" s="72">
        <v>465000000</v>
      </c>
      <c r="K32" s="72">
        <v>2170000000</v>
      </c>
      <c r="L32" s="72"/>
      <c r="M32" s="72"/>
      <c r="N32" s="62">
        <f>SUM(VigenciasFuturas34[[#This Row],[Recursos vigencia futura 2026]:[Recursos vigencia futura 2028]])</f>
        <v>2170000000</v>
      </c>
      <c r="O32" s="60">
        <f>VigenciasFuturas34[[#This Row],[TOTAL CORRIENTES]]+VigenciasFuturas34[[#This Row],[Recursos disponibles 2025]]</f>
        <v>2635000000</v>
      </c>
      <c r="P32" s="72">
        <v>465000000</v>
      </c>
      <c r="Q32" s="72">
        <v>2106796117</v>
      </c>
      <c r="R32" s="73"/>
      <c r="S32" s="73"/>
      <c r="T32" s="62">
        <f>SUM(VigenciasFuturas34[[#This Row],[2026]:[2028]])</f>
        <v>2106796117</v>
      </c>
      <c r="U32" s="67">
        <f>VigenciasFuturas34[[#This Row],[2025]]+VigenciasFuturas34[[#This Row],[TOTAL CONSTANTES]]</f>
        <v>2571796117</v>
      </c>
      <c r="V32" s="20" t="s">
        <v>71</v>
      </c>
      <c r="W32" s="20" t="s">
        <v>140</v>
      </c>
      <c r="X32" s="80">
        <v>45826</v>
      </c>
      <c r="Y32" s="82" t="s">
        <v>141</v>
      </c>
      <c r="Z32">
        <f t="shared" si="0"/>
        <v>60726551740</v>
      </c>
      <c r="AA32" s="18">
        <f>+K32</f>
        <v>2170000000</v>
      </c>
      <c r="AB32">
        <v>3</v>
      </c>
    </row>
    <row r="33" spans="1:28" ht="15" customHeight="1" x14ac:dyDescent="0.25">
      <c r="A33" s="196">
        <v>16</v>
      </c>
      <c r="B33" s="29" t="s">
        <v>142</v>
      </c>
      <c r="C33" s="29" t="s">
        <v>105</v>
      </c>
      <c r="D33" s="29" t="s">
        <v>105</v>
      </c>
      <c r="E33" s="29" t="s">
        <v>143</v>
      </c>
      <c r="F33" s="36" t="s">
        <v>138</v>
      </c>
      <c r="G33" s="36" t="s">
        <v>144</v>
      </c>
      <c r="H33" s="143" t="s">
        <v>35</v>
      </c>
      <c r="I33" s="138" t="s">
        <v>107</v>
      </c>
      <c r="J33" s="74">
        <v>754972359</v>
      </c>
      <c r="K33" s="74">
        <v>2646251418</v>
      </c>
      <c r="L33" s="72"/>
      <c r="M33" s="72"/>
      <c r="N33" s="62">
        <f>SUM(VigenciasFuturas34[[#This Row],[Recursos vigencia futura 2026]:[Recursos vigencia futura 2028]])</f>
        <v>2646251418</v>
      </c>
      <c r="O33" s="60">
        <f>VigenciasFuturas34[[#This Row],[TOTAL CORRIENTES]]+VigenciasFuturas34[[#This Row],[Recursos disponibles 2025]]</f>
        <v>3401223777</v>
      </c>
      <c r="P33" s="74">
        <v>754972359</v>
      </c>
      <c r="Q33" s="74">
        <v>2565440056</v>
      </c>
      <c r="R33" s="63"/>
      <c r="S33" s="63"/>
      <c r="T33" s="62">
        <f>SUM(VigenciasFuturas34[[#This Row],[2026]:[2028]])</f>
        <v>2565440056</v>
      </c>
      <c r="U33" s="67">
        <f>VigenciasFuturas34[[#This Row],[2025]]+VigenciasFuturas34[[#This Row],[TOTAL CONSTANTES]]</f>
        <v>3320412415</v>
      </c>
      <c r="V33" s="20" t="s">
        <v>71</v>
      </c>
      <c r="W33" s="26" t="s">
        <v>145</v>
      </c>
      <c r="X33" s="21">
        <v>45870</v>
      </c>
      <c r="Y33" s="82" t="s">
        <v>146</v>
      </c>
      <c r="Z33">
        <f t="shared" si="0"/>
        <v>58556551740</v>
      </c>
    </row>
    <row r="34" spans="1:28" s="18" customFormat="1" x14ac:dyDescent="0.25">
      <c r="A34" s="196"/>
      <c r="B34" s="28" t="s">
        <v>74</v>
      </c>
      <c r="C34" s="29" t="s">
        <v>75</v>
      </c>
      <c r="D34" s="37" t="s">
        <v>147</v>
      </c>
      <c r="E34" s="36" t="s">
        <v>148</v>
      </c>
      <c r="F34" s="36" t="s">
        <v>128</v>
      </c>
      <c r="G34" s="36" t="s">
        <v>144</v>
      </c>
      <c r="H34" s="143" t="s">
        <v>35</v>
      </c>
      <c r="I34" s="145">
        <v>290038</v>
      </c>
      <c r="J34" s="74">
        <v>837317433</v>
      </c>
      <c r="K34" s="74">
        <v>2641391001</v>
      </c>
      <c r="L34" s="72"/>
      <c r="M34" s="72"/>
      <c r="N34" s="62">
        <f>SUM(VigenciasFuturas34[[#This Row],[Recursos vigencia futura 2026]:[Recursos vigencia futura 2028]])</f>
        <v>2641391001</v>
      </c>
      <c r="O34" s="60">
        <f>VigenciasFuturas34[[#This Row],[TOTAL CORRIENTES]]+VigenciasFuturas34[[#This Row],[Recursos disponibles 2025]]</f>
        <v>3478708434</v>
      </c>
      <c r="P34" s="74">
        <v>837317433</v>
      </c>
      <c r="Q34" s="74">
        <v>2560728067</v>
      </c>
      <c r="R34" s="63"/>
      <c r="S34" s="63"/>
      <c r="T34" s="62">
        <f>SUM(VigenciasFuturas34[[#This Row],[2026]:[2028]])</f>
        <v>2560728067</v>
      </c>
      <c r="U34" s="67">
        <f>VigenciasFuturas34[[#This Row],[2025]]+VigenciasFuturas34[[#This Row],[TOTAL CONSTANTES]]</f>
        <v>3398045500</v>
      </c>
      <c r="V34" s="20" t="s">
        <v>71</v>
      </c>
      <c r="W34" s="26" t="s">
        <v>145</v>
      </c>
      <c r="X34" s="21">
        <v>45870</v>
      </c>
      <c r="Y34" s="82" t="s">
        <v>146</v>
      </c>
      <c r="Z34" s="18">
        <f t="shared" si="0"/>
        <v>55910300322</v>
      </c>
      <c r="AA34">
        <f>SUBTOTAL(9,K35:K36)</f>
        <v>53268909321</v>
      </c>
      <c r="AB34" s="18">
        <v>4</v>
      </c>
    </row>
    <row r="35" spans="1:28" ht="15" customHeight="1" x14ac:dyDescent="0.25">
      <c r="A35" s="196"/>
      <c r="B35" s="5" t="s">
        <v>112</v>
      </c>
      <c r="C35" s="29" t="s">
        <v>113</v>
      </c>
      <c r="D35" s="37"/>
      <c r="E35" s="36" t="s">
        <v>148</v>
      </c>
      <c r="F35" s="36" t="s">
        <v>138</v>
      </c>
      <c r="G35" s="36" t="s">
        <v>144</v>
      </c>
      <c r="H35" s="143" t="s">
        <v>35</v>
      </c>
      <c r="I35" s="145">
        <v>296003</v>
      </c>
      <c r="J35" s="74">
        <v>16525000000</v>
      </c>
      <c r="K35" s="74">
        <v>52100764563</v>
      </c>
      <c r="L35" s="72"/>
      <c r="M35" s="72"/>
      <c r="N35" s="62">
        <f>SUM(VigenciasFuturas34[[#This Row],[Recursos vigencia futura 2026]:[Recursos vigencia futura 2028]])</f>
        <v>52100764563</v>
      </c>
      <c r="O35" s="60">
        <f>VigenciasFuturas34[[#This Row],[TOTAL CORRIENTES]]+VigenciasFuturas34[[#This Row],[Recursos disponibles 2025]]</f>
        <v>68625764563</v>
      </c>
      <c r="P35" s="74">
        <v>16525000000</v>
      </c>
      <c r="Q35" s="74">
        <v>50509708738</v>
      </c>
      <c r="R35" s="63"/>
      <c r="S35" s="63"/>
      <c r="T35" s="62">
        <f>SUM(VigenciasFuturas34[[#This Row],[2026]:[2028]])</f>
        <v>50509708738</v>
      </c>
      <c r="U35" s="67">
        <f>VigenciasFuturas34[[#This Row],[2025]]+VigenciasFuturas34[[#This Row],[TOTAL CONSTANTES]]</f>
        <v>67034708738</v>
      </c>
      <c r="V35" s="20" t="s">
        <v>71</v>
      </c>
      <c r="W35" s="26" t="s">
        <v>145</v>
      </c>
      <c r="X35" s="21">
        <v>45870</v>
      </c>
      <c r="Y35" s="82" t="s">
        <v>146</v>
      </c>
      <c r="Z35">
        <f t="shared" si="0"/>
        <v>53268909321</v>
      </c>
    </row>
    <row r="36" spans="1:28" s="18" customFormat="1" ht="15" customHeight="1" x14ac:dyDescent="0.25">
      <c r="A36" s="196"/>
      <c r="B36" s="5" t="s">
        <v>112</v>
      </c>
      <c r="C36" s="29" t="s">
        <v>113</v>
      </c>
      <c r="D36" s="37"/>
      <c r="E36" s="36" t="s">
        <v>148</v>
      </c>
      <c r="F36" s="36" t="s">
        <v>138</v>
      </c>
      <c r="G36" s="36" t="s">
        <v>149</v>
      </c>
      <c r="H36" s="143" t="s">
        <v>35</v>
      </c>
      <c r="I36" s="145">
        <v>296003</v>
      </c>
      <c r="J36" s="74">
        <v>302973000</v>
      </c>
      <c r="K36" s="74">
        <v>1168144758</v>
      </c>
      <c r="L36" s="72"/>
      <c r="M36" s="72"/>
      <c r="N36" s="62">
        <f>SUM(VigenciasFuturas34[[#This Row],[Recursos vigencia futura 2026]:[Recursos vigencia futura 2028]])</f>
        <v>1168144758</v>
      </c>
      <c r="O36" s="60">
        <f>VigenciasFuturas34[[#This Row],[TOTAL CORRIENTES]]+VigenciasFuturas34[[#This Row],[Recursos disponibles 2025]]</f>
        <v>1471117758</v>
      </c>
      <c r="P36" s="75">
        <v>302973000</v>
      </c>
      <c r="Q36" s="74">
        <v>1132471893</v>
      </c>
      <c r="R36" s="63"/>
      <c r="S36" s="63"/>
      <c r="T36" s="62">
        <f>SUM(VigenciasFuturas34[[#This Row],[2026]:[2028]])</f>
        <v>1132471893</v>
      </c>
      <c r="U36" s="67">
        <f>VigenciasFuturas34[[#This Row],[2025]]+VigenciasFuturas34[[#This Row],[TOTAL CONSTANTES]]</f>
        <v>1435444893</v>
      </c>
      <c r="V36" s="20" t="s">
        <v>71</v>
      </c>
      <c r="W36" s="26" t="s">
        <v>145</v>
      </c>
      <c r="X36" s="21">
        <v>45870</v>
      </c>
      <c r="Y36" s="82" t="s">
        <v>146</v>
      </c>
      <c r="Z36" s="18">
        <f t="shared" si="0"/>
        <v>1168144758</v>
      </c>
    </row>
    <row r="37" spans="1:28" ht="15" customHeight="1" x14ac:dyDescent="0.25">
      <c r="A37" s="30">
        <v>17</v>
      </c>
      <c r="B37" s="121"/>
      <c r="C37" s="123"/>
      <c r="D37" s="8"/>
      <c r="E37" s="8"/>
      <c r="F37" s="8"/>
      <c r="G37" s="8"/>
      <c r="H37" s="12"/>
      <c r="I37" s="146"/>
      <c r="J37" s="176"/>
      <c r="K37" s="147"/>
      <c r="L37" s="147"/>
      <c r="M37" s="124"/>
      <c r="N37" s="62"/>
      <c r="O37" s="60"/>
      <c r="P37" s="177"/>
      <c r="T37" s="62"/>
      <c r="U37" s="67"/>
      <c r="V37" s="122"/>
      <c r="W37" s="26"/>
      <c r="X37" s="21"/>
      <c r="Z37">
        <f t="shared" si="0"/>
        <v>0</v>
      </c>
    </row>
    <row r="38" spans="1:28" ht="15" customHeight="1" x14ac:dyDescent="0.25">
      <c r="A38" s="192">
        <v>18</v>
      </c>
      <c r="B38" s="22"/>
      <c r="C38" s="23"/>
      <c r="D38" s="23"/>
      <c r="E38" s="23"/>
      <c r="F38" s="23"/>
      <c r="G38" s="23"/>
      <c r="H38" s="24"/>
      <c r="I38" s="25"/>
      <c r="J38" s="178"/>
      <c r="K38" s="70"/>
      <c r="L38" s="70"/>
      <c r="M38" s="130"/>
      <c r="N38" s="125">
        <f>SUM(VigenciasFuturas34[[#This Row],[Recursos vigencia futura 2026]:[Recursos vigencia futura 2028]])</f>
        <v>0</v>
      </c>
      <c r="O38" s="126">
        <f>VigenciasFuturas34[[#This Row],[TOTAL CORRIENTES]]+VigenciasFuturas34[[#This Row],[Recursos disponibles 2025]]</f>
        <v>0</v>
      </c>
      <c r="P38" s="130"/>
      <c r="Q38" s="130"/>
      <c r="R38" s="130"/>
      <c r="S38" s="130"/>
      <c r="T38" s="125">
        <f>SUM(VigenciasFuturas34[[#This Row],[2026]:[2028]])</f>
        <v>0</v>
      </c>
      <c r="U38" s="71">
        <f>VigenciasFuturas34[[#This Row],[2025]]+VigenciasFuturas34[[#This Row],[TOTAL CONSTANTES]]</f>
        <v>0</v>
      </c>
      <c r="V38" s="127"/>
      <c r="W38" s="128"/>
      <c r="X38" s="129"/>
      <c r="Z38">
        <f t="shared" si="0"/>
        <v>0</v>
      </c>
    </row>
    <row r="39" spans="1:28" ht="15" customHeight="1" x14ac:dyDescent="0.25">
      <c r="A39" s="188"/>
      <c r="B39" s="22"/>
      <c r="C39" s="23"/>
      <c r="D39" s="23"/>
      <c r="E39" s="23"/>
      <c r="F39" s="23"/>
      <c r="G39" s="23"/>
      <c r="H39" s="24"/>
      <c r="I39" s="25"/>
      <c r="J39" s="179"/>
      <c r="K39" s="130"/>
      <c r="L39" s="130"/>
      <c r="M39" s="130"/>
      <c r="N39" s="125">
        <f>SUM(VigenciasFuturas34[[#This Row],[Recursos vigencia futura 2026]:[Recursos vigencia futura 2028]])</f>
        <v>0</v>
      </c>
      <c r="O39" s="126">
        <f>VigenciasFuturas34[[#This Row],[TOTAL CORRIENTES]]+VigenciasFuturas34[[#This Row],[Recursos disponibles 2025]]</f>
        <v>0</v>
      </c>
      <c r="P39" s="130"/>
      <c r="Q39" s="130"/>
      <c r="R39" s="130"/>
      <c r="S39" s="130"/>
      <c r="T39" s="125">
        <f>SUM(VigenciasFuturas34[[#This Row],[2026]:[2028]])</f>
        <v>0</v>
      </c>
      <c r="U39" s="71">
        <f>VigenciasFuturas34[[#This Row],[2025]]+VigenciasFuturas34[[#This Row],[TOTAL CONSTANTES]]</f>
        <v>0</v>
      </c>
      <c r="V39" s="127"/>
      <c r="W39" s="128"/>
      <c r="X39" s="129"/>
      <c r="Z39">
        <f t="shared" si="0"/>
        <v>0</v>
      </c>
    </row>
    <row r="40" spans="1:28" ht="15" customHeight="1" x14ac:dyDescent="0.25">
      <c r="A40" s="193"/>
      <c r="B40" s="22"/>
      <c r="C40" s="23"/>
      <c r="D40" s="23"/>
      <c r="E40" s="23"/>
      <c r="F40" s="23"/>
      <c r="G40" s="23"/>
      <c r="H40" s="24"/>
      <c r="I40" s="25"/>
      <c r="J40" s="179"/>
      <c r="K40" s="130"/>
      <c r="L40" s="130"/>
      <c r="M40" s="130"/>
      <c r="N40" s="125">
        <f>SUM(VigenciasFuturas34[[#This Row],[Recursos vigencia futura 2026]:[Recursos vigencia futura 2028]])</f>
        <v>0</v>
      </c>
      <c r="O40" s="126">
        <f>VigenciasFuturas34[[#This Row],[TOTAL CORRIENTES]]+VigenciasFuturas34[[#This Row],[Recursos disponibles 2025]]</f>
        <v>0</v>
      </c>
      <c r="P40" s="130"/>
      <c r="Q40" s="130"/>
      <c r="R40" s="130"/>
      <c r="S40" s="130"/>
      <c r="T40" s="125">
        <f>SUM(VigenciasFuturas34[[#This Row],[2026]:[2028]])</f>
        <v>0</v>
      </c>
      <c r="U40" s="71">
        <f>VigenciasFuturas34[[#This Row],[2025]]+VigenciasFuturas34[[#This Row],[TOTAL CONSTANTES]]</f>
        <v>0</v>
      </c>
      <c r="V40" s="127"/>
      <c r="W40" s="128"/>
      <c r="X40" s="129"/>
      <c r="Z40">
        <f t="shared" si="0"/>
        <v>0</v>
      </c>
    </row>
    <row r="41" spans="1:28" ht="15" customHeight="1" x14ac:dyDescent="0.25">
      <c r="B41" s="22"/>
      <c r="C41" s="23"/>
      <c r="D41" s="23"/>
      <c r="E41" s="23"/>
      <c r="F41" s="23"/>
      <c r="G41" s="23"/>
      <c r="H41" s="24"/>
      <c r="I41" s="25"/>
      <c r="J41" s="76">
        <f>SUBTOTAL(9,VigenciasFuturas34[Recursos disponibles 2025])</f>
        <v>75309402805.0625</v>
      </c>
      <c r="K41" s="76">
        <f>SUBTOTAL(109,K3:K40)</f>
        <v>149406475196.25</v>
      </c>
      <c r="L41" s="76">
        <f>SUBTOTAL(109,L3:L40)</f>
        <v>83500040609</v>
      </c>
      <c r="M41" s="76"/>
      <c r="N41" s="77">
        <f>SUBTOTAL(109,N3:N40)</f>
        <v>232906515805.25</v>
      </c>
      <c r="O41" s="78">
        <f>SUBTOTAL(109,O3:O40)</f>
        <v>308215918610.3125</v>
      </c>
      <c r="P41" s="76">
        <f>SUBTOTAL(109,P3:P40)</f>
        <v>75309402805</v>
      </c>
      <c r="Q41" s="76">
        <f>SUBTOTAL(109,Q3:Q40)</f>
        <v>144972157937</v>
      </c>
      <c r="R41" s="76">
        <f>SUBTOTAL(109,R3:R40)</f>
        <v>78706796690</v>
      </c>
      <c r="S41" s="76"/>
      <c r="T41" s="77">
        <f>SUBTOTAL(109,T3:T40)</f>
        <v>223678954627</v>
      </c>
      <c r="U41" s="77">
        <f>SUBTOTAL(109,U3:U40)</f>
        <v>298988357432</v>
      </c>
      <c r="V41" s="38"/>
      <c r="W41" s="38"/>
      <c r="X41" s="39"/>
    </row>
    <row r="45" spans="1:28" ht="15" customHeight="1" x14ac:dyDescent="0.25">
      <c r="J45" s="134" t="e">
        <f>J37/N37</f>
        <v>#DIV/0!</v>
      </c>
      <c r="P45" s="134" t="e">
        <f>P37/T37</f>
        <v>#DIV/0!</v>
      </c>
    </row>
  </sheetData>
  <mergeCells count="13">
    <mergeCell ref="A38:A40"/>
    <mergeCell ref="A12:A15"/>
    <mergeCell ref="A16:A17"/>
    <mergeCell ref="A18:A19"/>
    <mergeCell ref="A29:A31"/>
    <mergeCell ref="A33:A36"/>
    <mergeCell ref="A22:A23"/>
    <mergeCell ref="A25:A26"/>
    <mergeCell ref="J1:O1"/>
    <mergeCell ref="P1:U1"/>
    <mergeCell ref="A4:A5"/>
    <mergeCell ref="A6:A9"/>
    <mergeCell ref="A10:A11"/>
  </mergeCells>
  <phoneticPr fontId="6"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FF776-1C26-4FE4-9711-DDED0EEF1335}">
  <sheetPr>
    <tabColor theme="5"/>
  </sheetPr>
  <dimension ref="A1:M34"/>
  <sheetViews>
    <sheetView zoomScale="80" zoomScaleNormal="80" workbookViewId="0">
      <pane ySplit="2" topLeftCell="A3" activePane="bottomLeft" state="frozen"/>
      <selection pane="bottomLeft" activeCell="V6" sqref="V6"/>
    </sheetView>
  </sheetViews>
  <sheetFormatPr baseColWidth="10" defaultColWidth="11.42578125" defaultRowHeight="11.25" x14ac:dyDescent="0.2"/>
  <cols>
    <col min="1" max="1" width="20.5703125" style="101" customWidth="1"/>
    <col min="2" max="2" width="63.42578125" style="92" customWidth="1"/>
    <col min="3" max="3" width="60.140625" style="89" hidden="1" customWidth="1"/>
    <col min="4" max="5" width="34.7109375" style="89" hidden="1" customWidth="1"/>
    <col min="6" max="6" width="30.5703125" style="149" customWidth="1"/>
    <col min="7" max="7" width="14.140625" style="163" bestFit="1" customWidth="1"/>
    <col min="8" max="8" width="11.42578125" style="164"/>
    <col min="9" max="10" width="16" style="149" bestFit="1" customWidth="1"/>
    <col min="11" max="11" width="16.5703125" style="149" customWidth="1"/>
    <col min="12" max="12" width="20.7109375" style="166" customWidth="1"/>
    <col min="13" max="13" width="14.5703125" style="149" customWidth="1"/>
    <col min="14" max="16384" width="11.42578125" style="89"/>
  </cols>
  <sheetData>
    <row r="1" spans="1:13" ht="30" customHeight="1" x14ac:dyDescent="0.2">
      <c r="F1" s="168"/>
      <c r="G1" s="168"/>
      <c r="H1" s="168"/>
      <c r="I1" s="168"/>
      <c r="J1" s="168"/>
      <c r="K1" s="168"/>
      <c r="L1" s="168"/>
      <c r="M1" s="168"/>
    </row>
    <row r="2" spans="1:13" ht="40.5" customHeight="1" x14ac:dyDescent="0.2">
      <c r="A2" s="98" t="s">
        <v>45</v>
      </c>
      <c r="B2" s="88" t="s">
        <v>150</v>
      </c>
      <c r="C2" s="131" t="s">
        <v>151</v>
      </c>
      <c r="D2" s="131" t="s">
        <v>152</v>
      </c>
      <c r="E2" s="173" t="s">
        <v>153</v>
      </c>
      <c r="F2" s="148" t="s">
        <v>154</v>
      </c>
      <c r="G2" s="150" t="s">
        <v>155</v>
      </c>
      <c r="H2" s="151" t="s">
        <v>156</v>
      </c>
      <c r="I2" s="151" t="s">
        <v>157</v>
      </c>
      <c r="J2" s="151" t="s">
        <v>158</v>
      </c>
      <c r="K2" s="151" t="s">
        <v>159</v>
      </c>
      <c r="L2" s="152" t="s">
        <v>160</v>
      </c>
      <c r="M2" s="152" t="s">
        <v>161</v>
      </c>
    </row>
    <row r="3" spans="1:13" ht="78.75" x14ac:dyDescent="0.2">
      <c r="A3" s="99" t="s">
        <v>3</v>
      </c>
      <c r="B3" s="90" t="s">
        <v>70</v>
      </c>
      <c r="C3" s="95" t="s">
        <v>162</v>
      </c>
      <c r="D3" s="95" t="s">
        <v>163</v>
      </c>
      <c r="E3" s="132" t="s">
        <v>164</v>
      </c>
      <c r="F3" s="132" t="s">
        <v>165</v>
      </c>
      <c r="G3" s="153" t="s">
        <v>166</v>
      </c>
      <c r="H3" s="154" t="s">
        <v>167</v>
      </c>
      <c r="I3" s="155">
        <v>9677527600</v>
      </c>
      <c r="J3" s="155">
        <v>19666223360</v>
      </c>
      <c r="K3" s="155">
        <v>20256177240</v>
      </c>
      <c r="L3" s="156">
        <f>Tabla2[[#This Row],[Valor 2025]]+Tabla2[[#This Row],[Valor 2026]]+Tabla2[[#This Row],[Valor 2027]]</f>
        <v>49599928200</v>
      </c>
      <c r="M3" s="156">
        <v>0</v>
      </c>
    </row>
    <row r="4" spans="1:13" ht="54.6" customHeight="1" x14ac:dyDescent="0.2">
      <c r="A4" s="198" t="s">
        <v>4</v>
      </c>
      <c r="B4" s="91" t="s">
        <v>80</v>
      </c>
      <c r="C4" s="96" t="s">
        <v>168</v>
      </c>
      <c r="D4" s="96" t="s">
        <v>169</v>
      </c>
      <c r="E4" s="133" t="s">
        <v>170</v>
      </c>
      <c r="F4" s="133" t="s">
        <v>170</v>
      </c>
      <c r="G4" s="153"/>
      <c r="H4" s="154"/>
      <c r="I4" s="155"/>
      <c r="J4" s="155"/>
      <c r="K4" s="155"/>
      <c r="L4" s="156">
        <f>Tabla2[[#This Row],[Valor 2025]]+Tabla2[[#This Row],[Valor 2026]]+Tabla2[[#This Row],[Valor 2027]]</f>
        <v>0</v>
      </c>
      <c r="M4" s="156"/>
    </row>
    <row r="5" spans="1:13" ht="60" customHeight="1" x14ac:dyDescent="0.2">
      <c r="A5" s="198"/>
      <c r="B5" s="90" t="s">
        <v>79</v>
      </c>
      <c r="C5" s="95" t="s">
        <v>171</v>
      </c>
      <c r="D5" s="95" t="s">
        <v>172</v>
      </c>
      <c r="E5" s="132" t="s">
        <v>173</v>
      </c>
      <c r="F5" s="132" t="s">
        <v>173</v>
      </c>
      <c r="G5" s="153"/>
      <c r="H5" s="154"/>
      <c r="I5" s="155"/>
      <c r="J5" s="155"/>
      <c r="K5" s="155"/>
      <c r="L5" s="156">
        <f>Tabla2[[#This Row],[Valor 2025]]+Tabla2[[#This Row],[Valor 2026]]+Tabla2[[#This Row],[Valor 2027]]</f>
        <v>0</v>
      </c>
      <c r="M5" s="156"/>
    </row>
    <row r="6" spans="1:13" ht="45" x14ac:dyDescent="0.2">
      <c r="A6" s="198" t="s">
        <v>5</v>
      </c>
      <c r="B6" s="91" t="s">
        <v>86</v>
      </c>
      <c r="C6" s="96" t="s">
        <v>174</v>
      </c>
      <c r="D6" s="96" t="s">
        <v>175</v>
      </c>
      <c r="E6" s="170" t="s">
        <v>176</v>
      </c>
      <c r="F6" s="170" t="s">
        <v>177</v>
      </c>
      <c r="G6" s="153"/>
      <c r="H6" s="154"/>
      <c r="I6" s="155"/>
      <c r="J6" s="155"/>
      <c r="K6" s="155"/>
      <c r="L6" s="156">
        <f>Tabla2[[#This Row],[Valor 2025]]+Tabla2[[#This Row],[Valor 2026]]+Tabla2[[#This Row],[Valor 2027]]</f>
        <v>0</v>
      </c>
      <c r="M6" s="156"/>
    </row>
    <row r="7" spans="1:13" ht="67.5" x14ac:dyDescent="0.2">
      <c r="A7" s="198"/>
      <c r="B7" s="90" t="s">
        <v>85</v>
      </c>
      <c r="C7" s="95" t="s">
        <v>178</v>
      </c>
      <c r="D7" s="95" t="s">
        <v>179</v>
      </c>
      <c r="E7" s="170" t="s">
        <v>176</v>
      </c>
      <c r="F7" s="170" t="s">
        <v>177</v>
      </c>
      <c r="G7" s="153"/>
      <c r="H7" s="154"/>
      <c r="I7" s="155"/>
      <c r="J7" s="155"/>
      <c r="K7" s="155"/>
      <c r="L7" s="156">
        <f>Tabla2[[#This Row],[Valor 2025]]+Tabla2[[#This Row],[Valor 2026]]+Tabla2[[#This Row],[Valor 2027]]</f>
        <v>0</v>
      </c>
      <c r="M7" s="156"/>
    </row>
    <row r="8" spans="1:13" ht="33.75" x14ac:dyDescent="0.2">
      <c r="A8" s="100" t="s">
        <v>6</v>
      </c>
      <c r="B8" s="91" t="s">
        <v>90</v>
      </c>
      <c r="C8" s="96" t="s">
        <v>180</v>
      </c>
      <c r="D8" s="96" t="s">
        <v>181</v>
      </c>
      <c r="E8" s="96" t="s">
        <v>181</v>
      </c>
      <c r="F8" s="96" t="s">
        <v>181</v>
      </c>
      <c r="G8" s="153" t="s">
        <v>182</v>
      </c>
      <c r="H8" s="157" t="s">
        <v>183</v>
      </c>
      <c r="I8" s="155">
        <v>7653792987</v>
      </c>
      <c r="J8" s="155">
        <f>17829678731-Tabla2[[#This Row],[Valor 2025]]</f>
        <v>10175885744</v>
      </c>
      <c r="K8" s="155">
        <v>0</v>
      </c>
      <c r="L8" s="156">
        <f>Tabla2[[#This Row],[Valor 2025]]+Tabla2[[#This Row],[Valor 2026]]+Tabla2[[#This Row],[Valor 2027]]</f>
        <v>17829678731</v>
      </c>
      <c r="M8" s="156">
        <v>0</v>
      </c>
    </row>
    <row r="9" spans="1:13" ht="27.75" customHeight="1" x14ac:dyDescent="0.2">
      <c r="A9" s="199" t="s">
        <v>8</v>
      </c>
      <c r="B9" s="90" t="s">
        <v>93</v>
      </c>
      <c r="C9" s="95" t="s">
        <v>184</v>
      </c>
      <c r="D9" s="95" t="s">
        <v>185</v>
      </c>
      <c r="E9" s="132" t="s">
        <v>186</v>
      </c>
      <c r="F9" s="132" t="s">
        <v>186</v>
      </c>
      <c r="G9" s="153"/>
      <c r="H9" s="154"/>
      <c r="I9" s="155"/>
      <c r="J9" s="155"/>
      <c r="K9" s="155"/>
      <c r="L9" s="156">
        <f>Tabla2[[#This Row],[Valor 2025]]+Tabla2[[#This Row],[Valor 2026]]+Tabla2[[#This Row],[Valor 2027]]</f>
        <v>0</v>
      </c>
      <c r="M9" s="156"/>
    </row>
    <row r="10" spans="1:13" ht="39.75" customHeight="1" x14ac:dyDescent="0.2">
      <c r="A10" s="199"/>
      <c r="B10" s="91" t="s">
        <v>95</v>
      </c>
      <c r="C10" s="95" t="s">
        <v>187</v>
      </c>
      <c r="D10" s="95" t="s">
        <v>185</v>
      </c>
      <c r="E10" s="132" t="s">
        <v>186</v>
      </c>
      <c r="F10" s="132" t="s">
        <v>186</v>
      </c>
      <c r="G10" s="153"/>
      <c r="H10" s="154"/>
      <c r="I10" s="155"/>
      <c r="J10" s="155"/>
      <c r="K10" s="155"/>
      <c r="L10" s="156">
        <f>Tabla2[[#This Row],[Valor 2025]]+Tabla2[[#This Row],[Valor 2026]]+Tabla2[[#This Row],[Valor 2027]]</f>
        <v>0</v>
      </c>
      <c r="M10" s="156"/>
    </row>
    <row r="11" spans="1:13" ht="56.25" x14ac:dyDescent="0.2">
      <c r="A11" s="99" t="s">
        <v>9</v>
      </c>
      <c r="B11" s="90" t="s">
        <v>97</v>
      </c>
      <c r="C11" s="95" t="s">
        <v>188</v>
      </c>
      <c r="D11" s="95" t="s">
        <v>189</v>
      </c>
      <c r="E11" s="170" t="s">
        <v>190</v>
      </c>
      <c r="F11" s="170" t="s">
        <v>190</v>
      </c>
      <c r="G11" s="153"/>
      <c r="H11" s="154"/>
      <c r="I11" s="155"/>
      <c r="J11" s="155"/>
      <c r="K11" s="155"/>
      <c r="L11" s="156">
        <f>Tabla2[[#This Row],[Valor 2025]]+Tabla2[[#This Row],[Valor 2026]]+Tabla2[[#This Row],[Valor 2027]]</f>
        <v>0</v>
      </c>
      <c r="M11" s="156"/>
    </row>
    <row r="12" spans="1:13" ht="45" x14ac:dyDescent="0.2">
      <c r="A12" s="198" t="s">
        <v>10</v>
      </c>
      <c r="B12" s="91" t="s">
        <v>101</v>
      </c>
      <c r="C12" s="96" t="s">
        <v>191</v>
      </c>
      <c r="D12" s="96" t="s">
        <v>192</v>
      </c>
      <c r="E12" s="171" t="s">
        <v>193</v>
      </c>
      <c r="F12" s="171" t="s">
        <v>194</v>
      </c>
      <c r="G12" s="153" t="s">
        <v>195</v>
      </c>
      <c r="H12" s="157" t="s">
        <v>196</v>
      </c>
      <c r="I12" s="155">
        <v>178883558</v>
      </c>
      <c r="J12" s="155">
        <v>340691081</v>
      </c>
      <c r="K12" s="155">
        <v>219517887</v>
      </c>
      <c r="L12" s="156">
        <f>Tabla2[[#This Row],[Valor 2025]]+Tabla2[[#This Row],[Valor 2026]]+Tabla2[[#This Row],[Valor 2027]]</f>
        <v>739092526</v>
      </c>
      <c r="M12" s="156">
        <v>0</v>
      </c>
    </row>
    <row r="13" spans="1:13" ht="67.5" x14ac:dyDescent="0.2">
      <c r="A13" s="198"/>
      <c r="B13" s="90" t="s">
        <v>99</v>
      </c>
      <c r="C13" s="95" t="s">
        <v>197</v>
      </c>
      <c r="D13" s="95" t="s">
        <v>198</v>
      </c>
      <c r="E13" s="132" t="s">
        <v>199</v>
      </c>
      <c r="F13" s="132" t="s">
        <v>199</v>
      </c>
      <c r="G13" s="153" t="s">
        <v>200</v>
      </c>
      <c r="H13" s="157" t="s">
        <v>201</v>
      </c>
      <c r="I13" s="155">
        <v>852578874</v>
      </c>
      <c r="J13" s="155">
        <v>1756312476</v>
      </c>
      <c r="K13" s="155">
        <v>1809000842</v>
      </c>
      <c r="L13" s="156">
        <f>Tabla2[[#This Row],[Valor 2025]]+Tabla2[[#This Row],[Valor 2026]]+Tabla2[[#This Row],[Valor 2027]]</f>
        <v>4417892192</v>
      </c>
      <c r="M13" s="156">
        <v>0</v>
      </c>
    </row>
    <row r="14" spans="1:13" ht="56.25" x14ac:dyDescent="0.2">
      <c r="A14" s="100" t="s">
        <v>11</v>
      </c>
      <c r="B14" s="91" t="s">
        <v>103</v>
      </c>
      <c r="C14" s="96" t="s">
        <v>202</v>
      </c>
      <c r="D14" s="96" t="s">
        <v>203</v>
      </c>
      <c r="E14" s="170" t="s">
        <v>204</v>
      </c>
      <c r="F14" s="96" t="s">
        <v>205</v>
      </c>
      <c r="G14" s="153" t="s">
        <v>206</v>
      </c>
      <c r="H14" s="157" t="s">
        <v>207</v>
      </c>
      <c r="I14" s="155">
        <f>394249982+3148610583</f>
        <v>3542860565</v>
      </c>
      <c r="J14" s="155">
        <f>1809512732+13782036055</f>
        <v>15591548787</v>
      </c>
      <c r="K14" s="155">
        <f>483858993+3806148424</f>
        <v>4290007417</v>
      </c>
      <c r="L14" s="156">
        <f>Tabla2[[#This Row],[Valor 2025]]+Tabla2[[#This Row],[Valor 2026]]+Tabla2[[#This Row],[Valor 2027]]</f>
        <v>23424416769</v>
      </c>
      <c r="M14" s="156">
        <v>0</v>
      </c>
    </row>
    <row r="15" spans="1:13" ht="56.25" x14ac:dyDescent="0.2">
      <c r="A15" s="99" t="s">
        <v>12</v>
      </c>
      <c r="B15" s="90" t="s">
        <v>109</v>
      </c>
      <c r="C15" s="95" t="s">
        <v>208</v>
      </c>
      <c r="D15" s="95" t="s">
        <v>209</v>
      </c>
      <c r="E15" s="95" t="s">
        <v>209</v>
      </c>
      <c r="F15" s="95" t="s">
        <v>209</v>
      </c>
      <c r="G15" s="153" t="s">
        <v>210</v>
      </c>
      <c r="H15" s="157" t="s">
        <v>211</v>
      </c>
      <c r="I15" s="155">
        <f>682305873+2022847057</f>
        <v>2705152930</v>
      </c>
      <c r="J15" s="155">
        <f>1255356692+3659526889</f>
        <v>4914883581</v>
      </c>
      <c r="K15" s="155">
        <f>1374615583+4007181943</f>
        <v>5381797526</v>
      </c>
      <c r="L15" s="156">
        <f>Tabla2[[#This Row],[Valor 2025]]+Tabla2[[#This Row],[Valor 2026]]+Tabla2[[#This Row],[Valor 2027]]</f>
        <v>13001834037</v>
      </c>
      <c r="M15" s="156">
        <v>733168569</v>
      </c>
    </row>
    <row r="16" spans="1:13" ht="33.75" x14ac:dyDescent="0.2">
      <c r="A16" s="100" t="s">
        <v>13</v>
      </c>
      <c r="B16" s="91" t="s">
        <v>115</v>
      </c>
      <c r="C16" s="96" t="s">
        <v>212</v>
      </c>
      <c r="D16" s="96" t="s">
        <v>213</v>
      </c>
      <c r="E16" s="96" t="s">
        <v>213</v>
      </c>
      <c r="F16" s="96" t="s">
        <v>213</v>
      </c>
      <c r="G16" s="153" t="s">
        <v>214</v>
      </c>
      <c r="H16" s="157" t="s">
        <v>215</v>
      </c>
      <c r="I16" s="155">
        <v>6103195512</v>
      </c>
      <c r="J16" s="155">
        <v>7638480000</v>
      </c>
      <c r="K16" s="155">
        <v>7867634379</v>
      </c>
      <c r="L16" s="156">
        <f>Tabla2[[#This Row],[Valor 2025]]+Tabla2[[#This Row],[Valor 2026]]+Tabla2[[#This Row],[Valor 2027]]</f>
        <v>21609309891</v>
      </c>
      <c r="M16" s="156">
        <v>0</v>
      </c>
    </row>
    <row r="17" spans="1:13" ht="67.5" x14ac:dyDescent="0.2">
      <c r="A17" s="99" t="s">
        <v>14</v>
      </c>
      <c r="B17" s="90" t="s">
        <v>117</v>
      </c>
      <c r="C17" s="95" t="s">
        <v>216</v>
      </c>
      <c r="D17" s="95" t="s">
        <v>217</v>
      </c>
      <c r="E17" s="172" t="s">
        <v>218</v>
      </c>
      <c r="F17" s="172" t="s">
        <v>218</v>
      </c>
      <c r="G17" s="153"/>
      <c r="H17" s="154"/>
      <c r="I17" s="155"/>
      <c r="J17" s="155"/>
      <c r="K17" s="155"/>
      <c r="L17" s="156">
        <f>Tabla2[[#This Row],[Valor 2025]]+Tabla2[[#This Row],[Valor 2026]]+Tabla2[[#This Row],[Valor 2027]]</f>
        <v>0</v>
      </c>
      <c r="M17" s="156"/>
    </row>
    <row r="18" spans="1:13" ht="62.25" customHeight="1" x14ac:dyDescent="0.2">
      <c r="A18" s="100" t="s">
        <v>15</v>
      </c>
      <c r="B18" s="91" t="s">
        <v>122</v>
      </c>
      <c r="C18" s="96" t="s">
        <v>219</v>
      </c>
      <c r="D18" s="96" t="s">
        <v>220</v>
      </c>
      <c r="E18" s="133" t="s">
        <v>221</v>
      </c>
      <c r="F18" s="133" t="s">
        <v>221</v>
      </c>
      <c r="G18" s="153" t="s">
        <v>222</v>
      </c>
      <c r="H18" s="157" t="s">
        <v>223</v>
      </c>
      <c r="I18" s="155">
        <v>522270926</v>
      </c>
      <c r="J18" s="155">
        <v>2229823402</v>
      </c>
      <c r="K18" s="155">
        <v>2256089375</v>
      </c>
      <c r="L18" s="156">
        <f>Tabla2[[#This Row],[Valor 2025]]+Tabla2[[#This Row],[Valor 2026]]+Tabla2[[#This Row],[Valor 2027]]</f>
        <v>5008183703</v>
      </c>
      <c r="M18" s="156">
        <v>0</v>
      </c>
    </row>
    <row r="19" spans="1:13" ht="213.75" x14ac:dyDescent="0.2">
      <c r="A19" s="99" t="s">
        <v>16</v>
      </c>
      <c r="B19" s="90" t="s">
        <v>124</v>
      </c>
      <c r="C19" s="95" t="s">
        <v>224</v>
      </c>
      <c r="D19" s="95" t="s">
        <v>225</v>
      </c>
      <c r="E19" s="132" t="s">
        <v>226</v>
      </c>
      <c r="F19" s="132" t="s">
        <v>227</v>
      </c>
      <c r="G19" s="153" t="s">
        <v>228</v>
      </c>
      <c r="H19" s="158" t="s">
        <v>229</v>
      </c>
      <c r="I19" s="155">
        <v>1367913840</v>
      </c>
      <c r="J19" s="155">
        <v>2534672508</v>
      </c>
      <c r="K19" s="155">
        <v>0</v>
      </c>
      <c r="L19" s="156">
        <f>Tabla2[[#This Row],[Valor 2025]]+Tabla2[[#This Row],[Valor 2026]]+Tabla2[[#This Row],[Valor 2027]]</f>
        <v>3902586348</v>
      </c>
      <c r="M19" s="156">
        <v>187976475</v>
      </c>
    </row>
    <row r="20" spans="1:13" ht="45" x14ac:dyDescent="0.2">
      <c r="A20" s="198" t="s">
        <v>230</v>
      </c>
      <c r="B20" s="91" t="s">
        <v>132</v>
      </c>
      <c r="C20" s="96" t="s">
        <v>231</v>
      </c>
      <c r="D20" s="96" t="s">
        <v>232</v>
      </c>
      <c r="E20" s="133" t="s">
        <v>233</v>
      </c>
      <c r="F20" s="133" t="s">
        <v>233</v>
      </c>
      <c r="G20" s="153" t="s">
        <v>234</v>
      </c>
      <c r="H20" s="154" t="s">
        <v>235</v>
      </c>
      <c r="I20" s="155">
        <v>71337252</v>
      </c>
      <c r="J20" s="155">
        <v>216151872</v>
      </c>
      <c r="K20" s="155">
        <v>222636424</v>
      </c>
      <c r="L20" s="156">
        <f>Tabla2[[#This Row],[Valor 2025]]+Tabla2[[#This Row],[Valor 2026]]+Tabla2[[#This Row],[Valor 2027]]</f>
        <v>510125548</v>
      </c>
      <c r="M20" s="156"/>
    </row>
    <row r="21" spans="1:13" ht="67.5" x14ac:dyDescent="0.2">
      <c r="A21" s="198"/>
      <c r="B21" s="90" t="s">
        <v>133</v>
      </c>
      <c r="C21" s="95" t="s">
        <v>236</v>
      </c>
      <c r="D21" s="95" t="s">
        <v>237</v>
      </c>
      <c r="E21" s="132" t="s">
        <v>238</v>
      </c>
      <c r="F21" s="132" t="s">
        <v>238</v>
      </c>
      <c r="G21" s="153"/>
      <c r="H21" s="154"/>
      <c r="I21" s="155"/>
      <c r="J21" s="155"/>
      <c r="K21" s="155"/>
      <c r="L21" s="156">
        <f>Tabla2[[#This Row],[Valor 2025]]+Tabla2[[#This Row],[Valor 2026]]+Tabla2[[#This Row],[Valor 2027]]</f>
        <v>0</v>
      </c>
      <c r="M21" s="156"/>
    </row>
    <row r="22" spans="1:13" ht="27" customHeight="1" x14ac:dyDescent="0.2">
      <c r="A22" s="198"/>
      <c r="B22" s="91" t="s">
        <v>129</v>
      </c>
      <c r="C22" s="96" t="s">
        <v>239</v>
      </c>
      <c r="D22" s="96" t="s">
        <v>240</v>
      </c>
      <c r="E22" s="133" t="s">
        <v>241</v>
      </c>
      <c r="F22" s="133" t="s">
        <v>241</v>
      </c>
      <c r="G22" s="153" t="s">
        <v>242</v>
      </c>
      <c r="H22" s="157" t="s">
        <v>243</v>
      </c>
      <c r="I22" s="155">
        <v>323059500</v>
      </c>
      <c r="J22" s="155">
        <v>955231785</v>
      </c>
      <c r="K22" s="155">
        <v>983888716</v>
      </c>
      <c r="L22" s="156">
        <f>Tabla2[[#This Row],[Valor 2025]]+Tabla2[[#This Row],[Valor 2026]]+Tabla2[[#This Row],[Valor 2027]]</f>
        <v>2262180001</v>
      </c>
      <c r="M22" s="156">
        <v>84048000</v>
      </c>
    </row>
    <row r="23" spans="1:13" ht="72" customHeight="1" x14ac:dyDescent="0.2">
      <c r="A23" s="99" t="s">
        <v>244</v>
      </c>
      <c r="B23" s="90" t="s">
        <v>139</v>
      </c>
      <c r="C23" s="95" t="s">
        <v>245</v>
      </c>
      <c r="D23" s="95" t="s">
        <v>246</v>
      </c>
      <c r="E23" s="132" t="s">
        <v>247</v>
      </c>
      <c r="F23" s="132" t="s">
        <v>247</v>
      </c>
      <c r="G23" s="169" t="s">
        <v>248</v>
      </c>
      <c r="H23" s="154" t="s">
        <v>249</v>
      </c>
      <c r="I23" s="155">
        <v>139500000</v>
      </c>
      <c r="J23" s="155">
        <v>279000000</v>
      </c>
      <c r="K23" s="155">
        <v>0</v>
      </c>
      <c r="L23" s="156">
        <f>Tabla2[[#This Row],[Valor 2025]]+Tabla2[[#This Row],[Valor 2026]]+Tabla2[[#This Row],[Valor 2027]]</f>
        <v>418500000</v>
      </c>
      <c r="M23" s="156">
        <v>0</v>
      </c>
    </row>
    <row r="24" spans="1:13" ht="90" customHeight="1" x14ac:dyDescent="0.2">
      <c r="A24" s="198" t="s">
        <v>35</v>
      </c>
      <c r="B24" s="91" t="s">
        <v>149</v>
      </c>
      <c r="C24" s="96" t="s">
        <v>250</v>
      </c>
      <c r="D24" s="96" t="s">
        <v>251</v>
      </c>
      <c r="E24" s="133" t="s">
        <v>252</v>
      </c>
      <c r="F24" s="133" t="s">
        <v>253</v>
      </c>
      <c r="G24" s="153"/>
      <c r="H24" s="154"/>
      <c r="I24" s="155"/>
      <c r="J24" s="155"/>
      <c r="K24" s="155"/>
      <c r="L24" s="156">
        <f>Tabla2[[#This Row],[Valor 2025]]+Tabla2[[#This Row],[Valor 2026]]+Tabla2[[#This Row],[Valor 2027]]</f>
        <v>0</v>
      </c>
      <c r="M24" s="156"/>
    </row>
    <row r="25" spans="1:13" ht="99" customHeight="1" x14ac:dyDescent="0.2">
      <c r="A25" s="198"/>
      <c r="B25" s="90" t="s">
        <v>144</v>
      </c>
      <c r="C25" s="95" t="s">
        <v>254</v>
      </c>
      <c r="D25" s="95" t="s">
        <v>255</v>
      </c>
      <c r="E25" s="133" t="s">
        <v>256</v>
      </c>
      <c r="F25" s="133" t="s">
        <v>257</v>
      </c>
      <c r="G25" s="153" t="s">
        <v>258</v>
      </c>
      <c r="H25" s="157" t="s">
        <v>259</v>
      </c>
      <c r="I25" s="155">
        <v>18026085814</v>
      </c>
      <c r="J25" s="155">
        <v>56854607369</v>
      </c>
      <c r="K25" s="155">
        <v>0</v>
      </c>
      <c r="L25" s="156">
        <f>Tabla2[[#This Row],[Valor 2025]]+Tabla2[[#This Row],[Valor 2026]]+Tabla2[[#This Row],[Valor 2027]]</f>
        <v>74880693183</v>
      </c>
      <c r="M25" s="156">
        <v>0</v>
      </c>
    </row>
    <row r="26" spans="1:13" ht="33" customHeight="1" x14ac:dyDescent="0.2">
      <c r="B26" s="93"/>
      <c r="C26" s="97"/>
      <c r="D26" s="97"/>
      <c r="E26" s="97"/>
      <c r="F26" s="94"/>
      <c r="G26" s="159"/>
      <c r="H26" s="160"/>
      <c r="I26" s="161">
        <f>SUBTOTAL(9,Tabla2[Valor 2025])</f>
        <v>51164159358</v>
      </c>
      <c r="J26" s="161">
        <f>SUBTOTAL(9,Tabla2[Valor 2026])</f>
        <v>123153511965</v>
      </c>
      <c r="K26" s="161">
        <f>SUBTOTAL(9,Tabla2[Valor 2027])</f>
        <v>43286749806</v>
      </c>
      <c r="L26" s="162">
        <f>SUBTOTAL(9,Tabla2[TOTAL DEL CONTRATO])</f>
        <v>217604421129</v>
      </c>
      <c r="M26" s="162">
        <f>SUBTOTAL(109,Tabla2[GIROS])</f>
        <v>1005193044</v>
      </c>
    </row>
    <row r="30" spans="1:13" x14ac:dyDescent="0.2">
      <c r="K30" s="165"/>
    </row>
    <row r="33" spans="11:11" x14ac:dyDescent="0.2">
      <c r="K33" s="165"/>
    </row>
    <row r="34" spans="11:11" x14ac:dyDescent="0.2">
      <c r="K34" s="167"/>
    </row>
  </sheetData>
  <sheetProtection formatCells="0" formatColumns="0" formatRows="0" insertColumns="0" insertRows="0" deleteColumns="0" deleteRows="0"/>
  <mergeCells count="6">
    <mergeCell ref="A24:A25"/>
    <mergeCell ref="A4:A5"/>
    <mergeCell ref="A6:A7"/>
    <mergeCell ref="A9:A10"/>
    <mergeCell ref="A12:A13"/>
    <mergeCell ref="A20:A22"/>
  </mergeCells>
  <phoneticPr fontId="6" type="noConversion"/>
  <hyperlinks>
    <hyperlink ref="H19" r:id="rId1" xr:uid="{ECBA9FD1-6751-4CB3-93F9-4A72A2D63579}"/>
    <hyperlink ref="H18" r:id="rId2" xr:uid="{0DC7FC02-CD06-4A39-82D7-B39737DF1A31}"/>
    <hyperlink ref="H8" r:id="rId3" xr:uid="{4E81A06C-F220-4291-9AB1-614A5B19CFC1}"/>
    <hyperlink ref="H15" r:id="rId4" xr:uid="{60F7F1FE-4CA8-408F-BE8E-3188CFB05E20}"/>
    <hyperlink ref="H16" r:id="rId5" xr:uid="{D6BBF034-06B9-45BA-BD69-F7D9952BECB0}"/>
    <hyperlink ref="H13" r:id="rId6" xr:uid="{8D24EE42-4FAD-4B39-AC3C-506BE09E17A0}"/>
    <hyperlink ref="H22" r:id="rId7" xr:uid="{006917DC-7E0F-400B-8397-1E8CE38ADC86}"/>
    <hyperlink ref="H14" r:id="rId8" xr:uid="{F87F458D-9FE6-429A-9547-F5A189E8E0DD}"/>
    <hyperlink ref="H12" r:id="rId9" xr:uid="{D9EB95D8-53C5-4247-ADA1-52A98A26ED12}"/>
    <hyperlink ref="H25" r:id="rId10" xr:uid="{D8EFF70A-3F20-493D-B419-CA6BFACB1D73}"/>
  </hyperlinks>
  <pageMargins left="0.7" right="0.7" top="0.75" bottom="0.75" header="0.3" footer="0.3"/>
  <tableParts count="1">
    <tablePart r:id="rId1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E614B-7328-4325-942B-FB1F07A2B37A}">
  <sheetPr>
    <tabColor rgb="FFFF99CC"/>
    <pageSetUpPr fitToPage="1"/>
  </sheetPr>
  <dimension ref="A1:L38"/>
  <sheetViews>
    <sheetView zoomScale="60" zoomScaleNormal="60" workbookViewId="0">
      <pane ySplit="1" topLeftCell="A21" activePane="bottomLeft" state="frozen"/>
      <selection pane="bottomLeft" activeCell="J34" sqref="J34:J35"/>
    </sheetView>
  </sheetViews>
  <sheetFormatPr baseColWidth="10" defaultColWidth="11.42578125" defaultRowHeight="15" x14ac:dyDescent="0.25"/>
  <cols>
    <col min="1" max="1" width="28.42578125" style="4" customWidth="1"/>
    <col min="2" max="2" width="21" style="4" customWidth="1"/>
    <col min="3" max="3" width="18.5703125" style="4" customWidth="1"/>
    <col min="4" max="4" width="21" style="4" customWidth="1"/>
    <col min="5" max="5" width="13.140625" style="4" customWidth="1"/>
    <col min="6" max="6" width="11.140625" style="4" bestFit="1" customWidth="1"/>
    <col min="7" max="7" width="13" style="4" bestFit="1" customWidth="1"/>
    <col min="8" max="8" width="16.28515625" style="4" customWidth="1"/>
    <col min="9" max="9" width="17.42578125" style="4" customWidth="1"/>
    <col min="10" max="10" width="20.28515625" style="1" customWidth="1"/>
    <col min="11" max="11" width="82.42578125" customWidth="1"/>
    <col min="12" max="12" width="92.140625" customWidth="1"/>
  </cols>
  <sheetData>
    <row r="1" spans="1:12" s="17" customFormat="1" ht="48" thickTop="1" x14ac:dyDescent="0.25">
      <c r="A1" s="104" t="s">
        <v>260</v>
      </c>
      <c r="B1" s="104" t="s">
        <v>261</v>
      </c>
      <c r="C1" s="102" t="s">
        <v>262</v>
      </c>
      <c r="D1" s="103" t="s">
        <v>263</v>
      </c>
      <c r="E1" s="103" t="s">
        <v>264</v>
      </c>
      <c r="F1" s="103" t="s">
        <v>265</v>
      </c>
      <c r="G1" s="103" t="s">
        <v>266</v>
      </c>
      <c r="H1" s="103" t="s">
        <v>267</v>
      </c>
      <c r="I1" s="103" t="s">
        <v>268</v>
      </c>
      <c r="J1" s="118" t="s">
        <v>269</v>
      </c>
      <c r="K1" s="104" t="s">
        <v>270</v>
      </c>
      <c r="L1" s="104" t="s">
        <v>271</v>
      </c>
    </row>
    <row r="2" spans="1:12" ht="39.950000000000003" customHeight="1" x14ac:dyDescent="0.25">
      <c r="A2" s="210" t="s">
        <v>3</v>
      </c>
      <c r="B2" s="220" t="s">
        <v>272</v>
      </c>
      <c r="C2" s="107" t="s">
        <v>273</v>
      </c>
      <c r="D2" s="110">
        <f>'02. Detalle de VF 2025'!J3</f>
        <v>12043353630</v>
      </c>
      <c r="E2" s="110">
        <f>'02. Detalle de VF 2025'!K3</f>
        <v>19666223360</v>
      </c>
      <c r="F2" s="110">
        <f>'02. Detalle de VF 2025'!L3</f>
        <v>20256177240</v>
      </c>
      <c r="G2" s="110">
        <f>Tabla4[[#This Row],[VF 2026]]+Tabla4[[#This Row],[VF 2027]]</f>
        <v>39922400600</v>
      </c>
      <c r="H2" s="111">
        <f>Tabla4[[#This Row],[Aprop. 2025]]+Tabla4[[#This Row],[ TOTAL  vf]]</f>
        <v>51965754230</v>
      </c>
      <c r="I2" s="110">
        <f>Tabla4[[#This Row],[Aprop. 2025]]</f>
        <v>12043353630</v>
      </c>
      <c r="J2" s="212">
        <f>G3/Tabla4[[#This Row],[ TOTAL  vf]]</f>
        <v>1</v>
      </c>
      <c r="K2" s="204" t="str">
        <f>'03. Seguimiento VF Autorizadas'!F3</f>
        <v>Adjudicado. Contrato No. 2092 - 2025 (01 de octubre de 2025). Finaliza el 31 de diciembre de 2027.</v>
      </c>
      <c r="L2" s="204" t="s">
        <v>274</v>
      </c>
    </row>
    <row r="3" spans="1:12" ht="39.950000000000003" customHeight="1" x14ac:dyDescent="0.25">
      <c r="A3" s="210"/>
      <c r="B3" s="220"/>
      <c r="C3" s="108" t="s">
        <v>275</v>
      </c>
      <c r="D3" s="116">
        <f>Tabla2[[#This Row],[Valor 2025]]</f>
        <v>9677527600</v>
      </c>
      <c r="E3" s="116">
        <f>Tabla2[[#This Row],[Valor 2026]]</f>
        <v>19666223360</v>
      </c>
      <c r="F3" s="116">
        <f>Tabla2[[#This Row],[Valor 2027]]</f>
        <v>20256177240</v>
      </c>
      <c r="G3" s="116">
        <f>Tabla4[[#This Row],[VF 2026]]+Tabla4[[#This Row],[VF 2027]]</f>
        <v>39922400600</v>
      </c>
      <c r="H3" s="116">
        <f>Tabla4[[#This Row],[Aprop. 2025]]+Tabla4[[#This Row],[ TOTAL  vf]]</f>
        <v>49599928200</v>
      </c>
      <c r="I3" s="117">
        <f>Tabla2[[#This Row],[GIROS]]</f>
        <v>0</v>
      </c>
      <c r="J3" s="212"/>
      <c r="K3" s="204"/>
      <c r="L3" s="204"/>
    </row>
    <row r="4" spans="1:12" ht="39.950000000000003" customHeight="1" x14ac:dyDescent="0.25">
      <c r="A4" s="202" t="s">
        <v>4</v>
      </c>
      <c r="B4" s="221" t="s">
        <v>276</v>
      </c>
      <c r="C4" s="107" t="s">
        <v>273</v>
      </c>
      <c r="D4" s="110">
        <f>VigenciasFuturas34[[#This Row],[Recursos disponibles 2025]]+'02. Detalle de VF 2025'!J5</f>
        <v>5000000000</v>
      </c>
      <c r="E4" s="110">
        <f>VigenciasFuturas34[[#This Row],[Recursos vigencia futura 2026]]+'02. Detalle de VF 2025'!K5</f>
        <v>6275000000</v>
      </c>
      <c r="F4" s="110">
        <f>VigenciasFuturas34[[#This Row],[Recursos vigencia futura 2027]]+'02. Detalle de VF 2025'!L5</f>
        <v>6063750000</v>
      </c>
      <c r="G4" s="110">
        <f>Tabla4[[#This Row],[VF 2026]]+Tabla4[[#This Row],[VF 2027]]</f>
        <v>12338750000</v>
      </c>
      <c r="H4" s="111">
        <f>Tabla4[[#This Row],[Aprop. 2025]]+Tabla4[[#This Row],[ TOTAL  vf]]</f>
        <v>17338750000</v>
      </c>
      <c r="I4" s="110">
        <f>Tabla4[[#This Row],[Aprop. 2025]]</f>
        <v>5000000000</v>
      </c>
      <c r="J4" s="205">
        <f>G5/Tabla4[[#This Row],[ TOTAL  vf]]</f>
        <v>0</v>
      </c>
      <c r="K4" s="216" t="str">
        <f>'03. Seguimiento VF Autorizadas'!F5</f>
        <v>Se están adelantando mesas de trabajo con la Corporación de Industria Aeronáutica Colombiana (CIAC), la MEBOG y la SDSCJ para la realización de un convenio tripartita mediante el cual se efectúe el mantenimiento.</v>
      </c>
      <c r="L4" s="216"/>
    </row>
    <row r="5" spans="1:12" ht="39.950000000000003" customHeight="1" x14ac:dyDescent="0.25">
      <c r="A5" s="202"/>
      <c r="B5" s="221"/>
      <c r="C5" s="109" t="s">
        <v>275</v>
      </c>
      <c r="D5" s="112">
        <f>'03. Seguimiento VF Autorizadas'!I4+Tabla2[[#This Row],[Valor 2025]]</f>
        <v>0</v>
      </c>
      <c r="E5" s="112">
        <f>'03. Seguimiento VF Autorizadas'!J4+Tabla2[[#This Row],[Valor 2026]]</f>
        <v>0</v>
      </c>
      <c r="F5" s="112">
        <f>'03. Seguimiento VF Autorizadas'!K4+Tabla2[[#This Row],[Valor 2027]]</f>
        <v>0</v>
      </c>
      <c r="G5" s="112">
        <f>Tabla4[[#This Row],[VF 2026]]+Tabla4[[#This Row],[VF 2027]]</f>
        <v>0</v>
      </c>
      <c r="H5" s="112">
        <f>Tabla4[[#This Row],[Aprop. 2025]]+Tabla4[[#This Row],[ TOTAL  vf]]</f>
        <v>0</v>
      </c>
      <c r="I5" s="113">
        <f>'03. Seguimiento VF Autorizadas'!M4+Tabla2[[#This Row],[GIROS]]</f>
        <v>0</v>
      </c>
      <c r="J5" s="205"/>
      <c r="K5" s="216"/>
      <c r="L5" s="216"/>
    </row>
    <row r="6" spans="1:12" ht="39.950000000000003" customHeight="1" x14ac:dyDescent="0.25">
      <c r="A6" s="210" t="s">
        <v>5</v>
      </c>
      <c r="B6" s="105" t="s">
        <v>276</v>
      </c>
      <c r="C6" s="107" t="s">
        <v>273</v>
      </c>
      <c r="D6" s="110">
        <f>VigenciasFuturas34[[#This Row],[Recursos disponibles 2025]]+'02. Detalle de VF 2025'!J7+'02. Detalle de VF 2025'!J8+'02. Detalle de VF 2025'!J9</f>
        <v>1940310000</v>
      </c>
      <c r="E6" s="110">
        <f>VigenciasFuturas34[[#This Row],[Recursos vigencia futura 2026]]+'02. Detalle de VF 2025'!K7+'02. Detalle de VF 2025'!K8+'02. Detalle de VF 2025'!K9</f>
        <v>2633970826</v>
      </c>
      <c r="F6" s="110">
        <f>VigenciasFuturas34[[#This Row],[Recursos vigencia futura 2027]]+'02. Detalle de VF 2025'!L7+'02. Detalle de VF 2025'!L8+'02. Detalle de VF 2025'!L9</f>
        <v>2460070542</v>
      </c>
      <c r="G6" s="110">
        <f>Tabla4[[#This Row],[VF 2026]]+Tabla4[[#This Row],[VF 2027]]</f>
        <v>5094041368</v>
      </c>
      <c r="H6" s="111">
        <f>Tabla4[[#This Row],[Aprop. 2025]]+Tabla4[[#This Row],[ TOTAL  vf]]</f>
        <v>7034351368</v>
      </c>
      <c r="I6" s="110">
        <f>Tabla4[[#This Row],[Aprop. 2025]]</f>
        <v>1940310000</v>
      </c>
      <c r="J6" s="212">
        <f>G7/Tabla4[[#This Row],[ TOTAL  vf]]</f>
        <v>0</v>
      </c>
      <c r="K6" s="204" t="str">
        <f>_xlfn.CONCAT("PRINCIPAL: ",'03. Seguimiento VF Autorizadas'!F5, " INTERVENTORIA: ",'03. Seguimiento VF Autorizadas'!F4)</f>
        <v>PRINCIPAL: Se están adelantando mesas de trabajo con la Corporación de Industria Aeronáutica Colombiana (CIAC), la MEBOG y la SDSCJ para la realización de un convenio tripartita mediante el cual se efectúe el mantenimiento. INTERVENTORIA: Se está a la espera de una comunicación por parte de CIAC y MEBOG para formalizar el desistimiento de estas vigencias futuras.</v>
      </c>
      <c r="L6" s="204"/>
    </row>
    <row r="7" spans="1:12" ht="39.950000000000003" customHeight="1" x14ac:dyDescent="0.25">
      <c r="A7" s="210"/>
      <c r="B7" s="105" t="s">
        <v>277</v>
      </c>
      <c r="C7" s="108" t="s">
        <v>275</v>
      </c>
      <c r="D7" s="116">
        <f>'03. Seguimiento VF Autorizadas'!I6+Tabla2[[#This Row],[Valor 2025]]</f>
        <v>0</v>
      </c>
      <c r="E7" s="116">
        <f>'03. Seguimiento VF Autorizadas'!J6+Tabla2[[#This Row],[Valor 2026]]</f>
        <v>0</v>
      </c>
      <c r="F7" s="116">
        <f>'03. Seguimiento VF Autorizadas'!K6+Tabla2[[#This Row],[Valor 2027]]</f>
        <v>0</v>
      </c>
      <c r="G7" s="116">
        <f>Tabla4[[#This Row],[VF 2026]]+Tabla4[[#This Row],[VF 2027]]</f>
        <v>0</v>
      </c>
      <c r="H7" s="116">
        <f>Tabla4[[#This Row],[Aprop. 2025]]+Tabla4[[#This Row],[ TOTAL  vf]]</f>
        <v>0</v>
      </c>
      <c r="I7" s="117">
        <f>'03. Seguimiento VF Autorizadas'!M6+Tabla2[[#This Row],[GIROS]]</f>
        <v>0</v>
      </c>
      <c r="J7" s="212"/>
      <c r="K7" s="204"/>
      <c r="L7" s="204"/>
    </row>
    <row r="8" spans="1:12" ht="39.950000000000003" customHeight="1" x14ac:dyDescent="0.25">
      <c r="A8" s="202" t="s">
        <v>6</v>
      </c>
      <c r="B8" s="106" t="s">
        <v>276</v>
      </c>
      <c r="C8" s="107" t="s">
        <v>273</v>
      </c>
      <c r="D8" s="110">
        <f>'02. Detalle de VF 2025'!J10+'02. Detalle de VF 2025'!J11</f>
        <v>7627092089.0625</v>
      </c>
      <c r="E8" s="110">
        <f>'02. Detalle de VF 2025'!K10+'02. Detalle de VF 2025'!K11</f>
        <v>10175885743.75</v>
      </c>
      <c r="F8" s="110">
        <f>'02. Detalle de VF 2025'!L10+'02. Detalle de VF 2025'!L11</f>
        <v>0</v>
      </c>
      <c r="G8" s="110">
        <f>'02. Detalle de VF 2025'!N10+'02. Detalle de VF 2025'!N11</f>
        <v>10175885743.75</v>
      </c>
      <c r="H8" s="111">
        <f>Tabla4[[#This Row],[Aprop. 2025]]+Tabla4[[#This Row],[ TOTAL  vf]]</f>
        <v>17802977832.8125</v>
      </c>
      <c r="I8" s="110">
        <f>Tabla4[[#This Row],[Aprop. 2025]]</f>
        <v>7627092089.0625</v>
      </c>
      <c r="J8" s="205">
        <f>G9/Tabla4[[#This Row],[ TOTAL  vf]]</f>
        <v>1.0000000000245679</v>
      </c>
      <c r="K8" s="216" t="str">
        <f>'03. Seguimiento VF Autorizadas'!F8</f>
        <v>Adjudicado. Contrato No. 1955-2025 (23 de julio 2025)</v>
      </c>
      <c r="L8" s="216" t="s">
        <v>278</v>
      </c>
    </row>
    <row r="9" spans="1:12" ht="39.950000000000003" customHeight="1" x14ac:dyDescent="0.25">
      <c r="A9" s="202"/>
      <c r="B9" s="106" t="s">
        <v>277</v>
      </c>
      <c r="C9" s="109" t="s">
        <v>275</v>
      </c>
      <c r="D9" s="112">
        <f>'03. Seguimiento VF Autorizadas'!I8</f>
        <v>7653792987</v>
      </c>
      <c r="E9" s="112">
        <f>'03. Seguimiento VF Autorizadas'!J8</f>
        <v>10175885744</v>
      </c>
      <c r="F9" s="112">
        <f>'03. Seguimiento VF Autorizadas'!K8</f>
        <v>0</v>
      </c>
      <c r="G9" s="112">
        <f>Tabla4[[#This Row],[VF 2026]]+Tabla4[[#This Row],[VF 2027]]</f>
        <v>10175885744</v>
      </c>
      <c r="H9" s="112">
        <f>Tabla4[[#This Row],[Aprop. 2025]]+Tabla4[[#This Row],[ TOTAL  vf]]</f>
        <v>17829678731</v>
      </c>
      <c r="I9" s="113">
        <f>'03. Seguimiento VF Autorizadas'!M8</f>
        <v>0</v>
      </c>
      <c r="J9" s="205"/>
      <c r="K9" s="216"/>
      <c r="L9" s="216"/>
    </row>
    <row r="10" spans="1:12" ht="39.950000000000003" customHeight="1" x14ac:dyDescent="0.25">
      <c r="A10" s="210" t="s">
        <v>8</v>
      </c>
      <c r="B10" s="105" t="s">
        <v>276</v>
      </c>
      <c r="C10" s="107" t="s">
        <v>273</v>
      </c>
      <c r="D10" s="110">
        <f>'02. Detalle de VF 2025'!J12+'02. Detalle de VF 2025'!J13+'02. Detalle de VF 2025'!J14+'02. Detalle de VF 2025'!J15</f>
        <v>7608000000</v>
      </c>
      <c r="E10" s="110">
        <f>'02. Detalle de VF 2025'!K12+'02. Detalle de VF 2025'!K13+'02. Detalle de VF 2025'!K14+'02. Detalle de VF 2025'!K15</f>
        <v>8316000000</v>
      </c>
      <c r="F10" s="110">
        <f>'02. Detalle de VF 2025'!L12+'02. Detalle de VF 2025'!L13+'02. Detalle de VF 2025'!L14+'02. Detalle de VF 2025'!L15</f>
        <v>10116000000</v>
      </c>
      <c r="G10" s="110">
        <f>'02. Detalle de VF 2025'!N12+'02. Detalle de VF 2025'!N13+'02. Detalle de VF 2025'!N14+'02. Detalle de VF 2025'!N15</f>
        <v>18432000000</v>
      </c>
      <c r="H10" s="111">
        <f>Tabla4[[#This Row],[Aprop. 2025]]+Tabla4[[#This Row],[ TOTAL  vf]]</f>
        <v>26040000000</v>
      </c>
      <c r="I10" s="110">
        <f>Tabla4[[#This Row],[Aprop. 2025]]</f>
        <v>7608000000</v>
      </c>
      <c r="J10" s="212">
        <f>G11/Tabla4[[#This Row],[ TOTAL  vf]]</f>
        <v>0</v>
      </c>
      <c r="K10" s="204" t="str">
        <f>_xlfn.CONCAT("PRINCIPAL: ",'03. Seguimiento VF Autorizadas'!F10, " INTERVENTORIA: ",'03. Seguimiento VF Autorizadas'!F9)</f>
        <v>PRINCIPAL: Debido a modificaciones en el cronograma de la Direccion de operaciones, la adjudicación se reprogramó para el 15 octubre INTERVENTORIA: Debido a modificaciones en el cronograma de la Direccion de operaciones, la adjudicación se reprogramó para el 15 octubre</v>
      </c>
      <c r="L10" s="204"/>
    </row>
    <row r="11" spans="1:12" ht="39.950000000000003" customHeight="1" x14ac:dyDescent="0.25">
      <c r="A11" s="210"/>
      <c r="B11" s="105" t="s">
        <v>277</v>
      </c>
      <c r="C11" s="108" t="s">
        <v>275</v>
      </c>
      <c r="D11" s="116">
        <f>'03. Seguimiento VF Autorizadas'!I9+'03. Seguimiento VF Autorizadas'!I10</f>
        <v>0</v>
      </c>
      <c r="E11" s="116">
        <f>'03. Seguimiento VF Autorizadas'!J9+'03. Seguimiento VF Autorizadas'!J10</f>
        <v>0</v>
      </c>
      <c r="F11" s="116">
        <f>'03. Seguimiento VF Autorizadas'!K9+'03. Seguimiento VF Autorizadas'!K10</f>
        <v>0</v>
      </c>
      <c r="G11" s="116">
        <f>Tabla4[[#This Row],[VF 2026]]+Tabla4[[#This Row],[VF 2027]]</f>
        <v>0</v>
      </c>
      <c r="H11" s="116">
        <f>Tabla4[[#This Row],[Aprop. 2025]]+Tabla4[[#This Row],[ TOTAL  vf]]</f>
        <v>0</v>
      </c>
      <c r="I11" s="117">
        <f>'03. Seguimiento VF Autorizadas'!M10+'03. Seguimiento VF Autorizadas'!M9</f>
        <v>0</v>
      </c>
      <c r="J11" s="212"/>
      <c r="K11" s="204"/>
      <c r="L11" s="204"/>
    </row>
    <row r="12" spans="1:12" ht="39.950000000000003" customHeight="1" x14ac:dyDescent="0.25">
      <c r="A12" s="202" t="s">
        <v>9</v>
      </c>
      <c r="B12" s="106" t="s">
        <v>276</v>
      </c>
      <c r="C12" s="107" t="s">
        <v>273</v>
      </c>
      <c r="D12" s="110">
        <f>'02. Detalle de VF 2025'!J16+'02. Detalle de VF 2025'!J17</f>
        <v>182045083</v>
      </c>
      <c r="E12" s="110">
        <f>'02. Detalle de VF 2025'!K16+'02. Detalle de VF 2025'!K17</f>
        <v>395431702</v>
      </c>
      <c r="F12" s="110">
        <f>'02. Detalle de VF 2025'!L16+'02. Detalle de VF 2025'!L17</f>
        <v>395431702</v>
      </c>
      <c r="G12" s="110">
        <f>Tabla4[[#This Row],[VF 2026]]+Tabla4[[#This Row],[VF 2027]]</f>
        <v>790863404</v>
      </c>
      <c r="H12" s="111">
        <f>Tabla4[[#This Row],[Aprop. 2025]]+Tabla4[[#This Row],[ TOTAL  vf]]</f>
        <v>972908487</v>
      </c>
      <c r="I12" s="110">
        <f>Tabla4[[#This Row],[Aprop. 2025]]</f>
        <v>182045083</v>
      </c>
      <c r="J12" s="205">
        <f>G13/Tabla4[[#This Row],[ TOTAL  vf]]</f>
        <v>0</v>
      </c>
      <c r="K12" s="216" t="str">
        <f>'03. Seguimiento VF Autorizadas'!F11</f>
        <v>Se encuentra en revisión de la Direccion de Operaciones, esta programado adjudicar en noviembre</v>
      </c>
      <c r="L12" s="216"/>
    </row>
    <row r="13" spans="1:12" ht="39.950000000000003" customHeight="1" x14ac:dyDescent="0.25">
      <c r="A13" s="202"/>
      <c r="B13" s="106" t="s">
        <v>277</v>
      </c>
      <c r="C13" s="109" t="s">
        <v>275</v>
      </c>
      <c r="D13" s="112">
        <f>'03. Seguimiento VF Autorizadas'!I11</f>
        <v>0</v>
      </c>
      <c r="E13" s="112">
        <f>'03. Seguimiento VF Autorizadas'!J11</f>
        <v>0</v>
      </c>
      <c r="F13" s="112">
        <f>'03. Seguimiento VF Autorizadas'!K11</f>
        <v>0</v>
      </c>
      <c r="G13" s="112">
        <f>Tabla4[[#This Row],[VF 2026]]+Tabla4[[#This Row],[VF 2027]]</f>
        <v>0</v>
      </c>
      <c r="H13" s="112">
        <f>Tabla4[[#This Row],[Aprop. 2025]]+Tabla4[[#This Row],[ TOTAL  vf]]</f>
        <v>0</v>
      </c>
      <c r="I13" s="113">
        <f>'03. Seguimiento VF Autorizadas'!M11</f>
        <v>0</v>
      </c>
      <c r="J13" s="205"/>
      <c r="K13" s="216"/>
      <c r="L13" s="216"/>
    </row>
    <row r="14" spans="1:12" ht="39.950000000000003" customHeight="1" x14ac:dyDescent="0.25">
      <c r="A14" s="210" t="s">
        <v>10</v>
      </c>
      <c r="B14" s="220" t="s">
        <v>277</v>
      </c>
      <c r="C14" s="107" t="s">
        <v>273</v>
      </c>
      <c r="D14" s="110">
        <f>'02. Detalle de VF 2025'!J18+'02. Detalle de VF 2025'!J19</f>
        <v>1031462432</v>
      </c>
      <c r="E14" s="110">
        <f>'02. Detalle de VF 2025'!K18+'02. Detalle de VF 2025'!K19</f>
        <v>2097003556.5</v>
      </c>
      <c r="F14" s="110">
        <f>'02. Detalle de VF 2025'!L18+'02. Detalle de VF 2025'!L19</f>
        <v>2128826916</v>
      </c>
      <c r="G14" s="110">
        <f>Tabla4[[#This Row],[VF 2026]]+Tabla4[[#This Row],[VF 2027]]</f>
        <v>4225830472.5</v>
      </c>
      <c r="H14" s="111">
        <f>Tabla4[[#This Row],[Aprop. 2025]]+Tabla4[[#This Row],[ TOTAL  vf]]</f>
        <v>5257292904.5</v>
      </c>
      <c r="I14" s="110">
        <f>Tabla4[[#This Row],[Aprop. 2025]]</f>
        <v>1031462432</v>
      </c>
      <c r="J14" s="212">
        <f>G15/Tabla4[[#This Row],[ TOTAL  vf]]</f>
        <v>0.9762630831613418</v>
      </c>
      <c r="K14" s="204" t="str">
        <f>_xlfn.CONCAT("PRINCIPAL: ",'03. Seguimiento VF Autorizadas'!F13, " INTERVENTORIA: ",'03. Seguimiento VF Autorizadas'!F12)</f>
        <v>PRINCIPAL: Adjudicado Contrato 2063-2025 el 29 de agosto de 2025 INTERVENTORIA: Contrato 2114-2025 del 30 de septiembre de 2025</v>
      </c>
      <c r="L14" s="204" t="s">
        <v>279</v>
      </c>
    </row>
    <row r="15" spans="1:12" ht="39.950000000000003" customHeight="1" x14ac:dyDescent="0.25">
      <c r="A15" s="210"/>
      <c r="B15" s="220"/>
      <c r="C15" s="108" t="s">
        <v>275</v>
      </c>
      <c r="D15" s="116">
        <f>'03. Seguimiento VF Autorizadas'!I12+'03. Seguimiento VF Autorizadas'!I13</f>
        <v>1031462432</v>
      </c>
      <c r="E15" s="116">
        <f>'03. Seguimiento VF Autorizadas'!J12+'03. Seguimiento VF Autorizadas'!J13</f>
        <v>2097003557</v>
      </c>
      <c r="F15" s="116">
        <f>'03. Seguimiento VF Autorizadas'!K12+'03. Seguimiento VF Autorizadas'!K13</f>
        <v>2028518729</v>
      </c>
      <c r="G15" s="116">
        <f>Tabla4[[#This Row],[VF 2026]]+Tabla4[[#This Row],[VF 2027]]</f>
        <v>4125522286</v>
      </c>
      <c r="H15" s="116">
        <f>Tabla4[[#This Row],[Aprop. 2025]]+Tabla4[[#This Row],[ TOTAL  vf]]</f>
        <v>5156984718</v>
      </c>
      <c r="I15" s="117">
        <f>'03. Seguimiento VF Autorizadas'!M12+'03. Seguimiento VF Autorizadas'!M13</f>
        <v>0</v>
      </c>
      <c r="J15" s="212"/>
      <c r="K15" s="204"/>
      <c r="L15" s="204"/>
    </row>
    <row r="16" spans="1:12" ht="39.950000000000003" customHeight="1" x14ac:dyDescent="0.25">
      <c r="A16" s="202" t="s">
        <v>11</v>
      </c>
      <c r="B16" s="221" t="s">
        <v>280</v>
      </c>
      <c r="C16" s="107" t="s">
        <v>273</v>
      </c>
      <c r="D16" s="110">
        <f>'02. Detalle de VF 2025'!J20+'02. Detalle de VF 2025'!J21</f>
        <v>8240974470</v>
      </c>
      <c r="E16" s="110">
        <f>'02. Detalle de VF 2025'!K20+'02. Detalle de VF 2025'!K21</f>
        <v>15591548787</v>
      </c>
      <c r="F16" s="110">
        <f>'02. Detalle de VF 2025'!L20+'02. Detalle de VF 2025'!L21</f>
        <v>17354280733</v>
      </c>
      <c r="G16" s="110">
        <f>Tabla4[[#This Row],[VF 2026]]+Tabla4[[#This Row],[VF 2027]]</f>
        <v>32945829520</v>
      </c>
      <c r="H16" s="111">
        <f>Tabla4[[#This Row],[Aprop. 2025]]+Tabla4[[#This Row],[ TOTAL  vf]]</f>
        <v>41186803990</v>
      </c>
      <c r="I16" s="110">
        <f>Tabla4[[#This Row],[Aprop. 2025]]</f>
        <v>8240974470</v>
      </c>
      <c r="J16" s="205">
        <f>G17/Tabla4[[#This Row],[ TOTAL  vf]]</f>
        <v>0.60346200091670965</v>
      </c>
      <c r="K16" s="216" t="str">
        <f>'03. Seguimiento VF Autorizadas'!F14</f>
        <v>Adjudicado. Contrato No. 2100-2025 (10 de octubre de 2025). Finaliza el 31 de marzo de 2027.</v>
      </c>
      <c r="L16" s="216" t="s">
        <v>281</v>
      </c>
    </row>
    <row r="17" spans="1:12" ht="39.950000000000003" customHeight="1" x14ac:dyDescent="0.25">
      <c r="A17" s="202"/>
      <c r="B17" s="221"/>
      <c r="C17" s="109" t="s">
        <v>275</v>
      </c>
      <c r="D17" s="112">
        <f>'03. Seguimiento VF Autorizadas'!I14</f>
        <v>3542860565</v>
      </c>
      <c r="E17" s="112">
        <f>'03. Seguimiento VF Autorizadas'!J14</f>
        <v>15591548787</v>
      </c>
      <c r="F17" s="112">
        <f>'03. Seguimiento VF Autorizadas'!K14</f>
        <v>4290007417</v>
      </c>
      <c r="G17" s="112">
        <f>Tabla4[[#This Row],[VF 2026]]+Tabla4[[#This Row],[VF 2027]]</f>
        <v>19881556204</v>
      </c>
      <c r="H17" s="112">
        <f>Tabla4[[#This Row],[Aprop. 2025]]+Tabla4[[#This Row],[ TOTAL  vf]]</f>
        <v>23424416769</v>
      </c>
      <c r="I17" s="113">
        <f>'03. Seguimiento VF Autorizadas'!M14</f>
        <v>0</v>
      </c>
      <c r="J17" s="205"/>
      <c r="K17" s="216"/>
      <c r="L17" s="216"/>
    </row>
    <row r="18" spans="1:12" ht="39.950000000000003" customHeight="1" x14ac:dyDescent="0.25">
      <c r="A18" s="210" t="s">
        <v>12</v>
      </c>
      <c r="B18" s="211" t="s">
        <v>280</v>
      </c>
      <c r="C18" s="107" t="s">
        <v>273</v>
      </c>
      <c r="D18" s="110">
        <f>'02. Detalle de VF 2025'!J22+'02. Detalle de VF 2025'!J23</f>
        <v>4048661946</v>
      </c>
      <c r="E18" s="110">
        <f>'02. Detalle de VF 2025'!K22+'02. Detalle de VF 2025'!K23</f>
        <v>7599916848</v>
      </c>
      <c r="F18" s="110">
        <f>'02. Detalle de VF 2025'!L22+'02. Detalle de VF 2025'!L23</f>
        <v>8321908956</v>
      </c>
      <c r="G18" s="110">
        <f>Tabla4[[#This Row],[VF 2026]]+Tabla4[[#This Row],[VF 2027]]</f>
        <v>15921825804</v>
      </c>
      <c r="H18" s="111">
        <f>Tabla4[[#This Row],[Aprop. 2025]]+Tabla4[[#This Row],[ TOTAL  vf]]</f>
        <v>19970487750</v>
      </c>
      <c r="I18" s="110">
        <f>Tabla4[[#This Row],[Aprop. 2025]]</f>
        <v>4048661946</v>
      </c>
      <c r="J18" s="212">
        <f>G19/Tabla4[[#This Row],[ TOTAL  vf]]</f>
        <v>0.64670228362963189</v>
      </c>
      <c r="K18" s="204" t="str">
        <f>'03. Seguimiento VF Autorizadas'!F15</f>
        <v>Adjudicado. Contrato No. 1807-2025 (20 de junio de 2025)</v>
      </c>
      <c r="L18" s="204" t="s">
        <v>282</v>
      </c>
    </row>
    <row r="19" spans="1:12" ht="39.950000000000003" customHeight="1" x14ac:dyDescent="0.25">
      <c r="A19" s="210"/>
      <c r="B19" s="211"/>
      <c r="C19" s="108" t="s">
        <v>275</v>
      </c>
      <c r="D19" s="114">
        <f>'03. Seguimiento VF Autorizadas'!I15</f>
        <v>2705152930</v>
      </c>
      <c r="E19" s="114">
        <f>'03. Seguimiento VF Autorizadas'!J15</f>
        <v>4914883581</v>
      </c>
      <c r="F19" s="114">
        <f>'03. Seguimiento VF Autorizadas'!K15</f>
        <v>5381797526</v>
      </c>
      <c r="G19" s="116">
        <f>Tabla4[[#This Row],[VF 2026]]+Tabla4[[#This Row],[VF 2027]]</f>
        <v>10296681107</v>
      </c>
      <c r="H19" s="116">
        <f>Tabla4[[#This Row],[Aprop. 2025]]+Tabla4[[#This Row],[ TOTAL  vf]]</f>
        <v>13001834037</v>
      </c>
      <c r="I19" s="115">
        <f>'03. Seguimiento VF Autorizadas'!M15</f>
        <v>733168569</v>
      </c>
      <c r="J19" s="212"/>
      <c r="K19" s="204"/>
      <c r="L19" s="204"/>
    </row>
    <row r="20" spans="1:12" ht="39.950000000000003" customHeight="1" x14ac:dyDescent="0.25">
      <c r="A20" s="202" t="s">
        <v>13</v>
      </c>
      <c r="B20" s="219" t="s">
        <v>283</v>
      </c>
      <c r="C20" s="107" t="s">
        <v>273</v>
      </c>
      <c r="D20" s="110">
        <f>'02. Detalle de VF 2025'!J24</f>
        <v>4944000000</v>
      </c>
      <c r="E20" s="110">
        <f>'02. Detalle de VF 2025'!K24</f>
        <v>7638480000</v>
      </c>
      <c r="F20" s="110">
        <f>'02. Detalle de VF 2025'!L24</f>
        <v>7867634400</v>
      </c>
      <c r="G20" s="110">
        <f>Tabla4[[#This Row],[VF 2026]]+Tabla4[[#This Row],[VF 2027]]</f>
        <v>15506114400</v>
      </c>
      <c r="H20" s="111">
        <f>Tabla4[[#This Row],[Aprop. 2025]]+Tabla4[[#This Row],[ TOTAL  vf]]</f>
        <v>20450114400</v>
      </c>
      <c r="I20" s="110">
        <f>Tabla4[[#This Row],[Aprop. 2025]]</f>
        <v>4944000000</v>
      </c>
      <c r="J20" s="205">
        <f>G21/Tabla4[[#This Row],[ TOTAL  vf]]</f>
        <v>0.99999999864569555</v>
      </c>
      <c r="K20" s="216" t="str">
        <f>'03. Seguimiento VF Autorizadas'!F16</f>
        <v>Adjudicado. Contrato No. 1627-2025 (05 de junio de 2025)</v>
      </c>
      <c r="L20" s="216" t="s">
        <v>284</v>
      </c>
    </row>
    <row r="21" spans="1:12" ht="39.950000000000003" customHeight="1" x14ac:dyDescent="0.25">
      <c r="A21" s="202"/>
      <c r="B21" s="219"/>
      <c r="C21" s="109" t="s">
        <v>275</v>
      </c>
      <c r="D21" s="112">
        <f>'03. Seguimiento VF Autorizadas'!I16</f>
        <v>6103195512</v>
      </c>
      <c r="E21" s="112">
        <f>'03. Seguimiento VF Autorizadas'!J16</f>
        <v>7638480000</v>
      </c>
      <c r="F21" s="112">
        <f>'03. Seguimiento VF Autorizadas'!K16</f>
        <v>7867634379</v>
      </c>
      <c r="G21" s="112">
        <f>Tabla4[[#This Row],[VF 2026]]+Tabla4[[#This Row],[VF 2027]]</f>
        <v>15506114379</v>
      </c>
      <c r="H21" s="112">
        <f>Tabla4[[#This Row],[Aprop. 2025]]+Tabla4[[#This Row],[ TOTAL  vf]]</f>
        <v>21609309891</v>
      </c>
      <c r="I21" s="113">
        <f>'03. Seguimiento VF Autorizadas'!M16</f>
        <v>0</v>
      </c>
      <c r="J21" s="205"/>
      <c r="K21" s="216"/>
      <c r="L21" s="216"/>
    </row>
    <row r="22" spans="1:12" ht="39.950000000000003" customHeight="1" x14ac:dyDescent="0.25">
      <c r="A22" s="210" t="s">
        <v>14</v>
      </c>
      <c r="B22" s="211" t="s">
        <v>280</v>
      </c>
      <c r="C22" s="107" t="s">
        <v>273</v>
      </c>
      <c r="D22" s="110">
        <f>'02. Detalle de VF 2025'!J26+'02. Detalle de VF 2025'!J25</f>
        <v>823374531</v>
      </c>
      <c r="E22" s="110">
        <f>'02. Detalle de VF 2025'!K26+'02. Detalle de VF 2025'!K25</f>
        <v>1261289392</v>
      </c>
      <c r="F22" s="110">
        <f>'02. Detalle de VF 2025'!L26+'02. Detalle de VF 2025'!L25</f>
        <v>1299128073</v>
      </c>
      <c r="G22" s="110">
        <f>Tabla4[[#This Row],[VF 2026]]+Tabla4[[#This Row],[VF 2027]]</f>
        <v>2560417465</v>
      </c>
      <c r="H22" s="111">
        <f>Tabla4[[#This Row],[Aprop. 2025]]+Tabla4[[#This Row],[ TOTAL  vf]]</f>
        <v>3383791996</v>
      </c>
      <c r="I22" s="110">
        <f>Tabla4[[#This Row],[Aprop. 2025]]</f>
        <v>823374531</v>
      </c>
      <c r="J22" s="212">
        <f>G23/Tabla4[[#This Row],[ TOTAL  vf]]</f>
        <v>0</v>
      </c>
      <c r="K22" s="204" t="str">
        <f>'03. Seguimiento VF Autorizadas'!F17</f>
        <v>Debido a modificaciones en la modalidad de contratación y en el loteo del proceso, la radicacion del proceso de operador logistico se pretende realizar el 30/09/2025 y su adjudicación se petende realizar en noviembre</v>
      </c>
      <c r="L22" s="204"/>
    </row>
    <row r="23" spans="1:12" ht="39.950000000000003" customHeight="1" x14ac:dyDescent="0.25">
      <c r="A23" s="210"/>
      <c r="B23" s="211"/>
      <c r="C23" s="108" t="s">
        <v>275</v>
      </c>
      <c r="D23" s="114">
        <f>'03. Seguimiento VF Autorizadas'!I17</f>
        <v>0</v>
      </c>
      <c r="E23" s="114">
        <f>'03. Seguimiento VF Autorizadas'!J17</f>
        <v>0</v>
      </c>
      <c r="F23" s="114">
        <f>'03. Seguimiento VF Autorizadas'!K17</f>
        <v>0</v>
      </c>
      <c r="G23" s="116">
        <f>Tabla4[[#This Row],[VF 2026]]+Tabla4[[#This Row],[VF 2027]]</f>
        <v>0</v>
      </c>
      <c r="H23" s="116">
        <f>Tabla4[[#This Row],[Aprop. 2025]]+Tabla4[[#This Row],[ TOTAL  vf]]</f>
        <v>0</v>
      </c>
      <c r="I23" s="115">
        <f>'03. Seguimiento VF Autorizadas'!M17</f>
        <v>0</v>
      </c>
      <c r="J23" s="212"/>
      <c r="K23" s="204"/>
      <c r="L23" s="204"/>
    </row>
    <row r="24" spans="1:12" ht="39.950000000000003" customHeight="1" x14ac:dyDescent="0.25">
      <c r="A24" s="202" t="s">
        <v>15</v>
      </c>
      <c r="B24" s="217" t="s">
        <v>277</v>
      </c>
      <c r="C24" s="107" t="s">
        <v>273</v>
      </c>
      <c r="D24" s="110">
        <f>'02. Detalle de VF 2025'!J27</f>
        <v>969110105</v>
      </c>
      <c r="E24" s="110">
        <f>'02. Detalle de VF 2025'!K27</f>
        <v>3236279481</v>
      </c>
      <c r="F24" s="110">
        <f>'02. Detalle de VF 2025'!L27</f>
        <v>3224136409</v>
      </c>
      <c r="G24" s="110">
        <f>'02. Detalle de VF 2025'!N27</f>
        <v>6460415890</v>
      </c>
      <c r="H24" s="111">
        <f>Tabla4[[#This Row],[Aprop. 2025]]+Tabla4[[#This Row],[ TOTAL  vf]]</f>
        <v>7429525995</v>
      </c>
      <c r="I24" s="110">
        <f>Tabla4[[#This Row],[Aprop. 2025]]</f>
        <v>969110105</v>
      </c>
      <c r="J24" s="205">
        <f>G25/Tabla4[[#This Row],[ TOTAL  vf]]</f>
        <v>0.69436903960682939</v>
      </c>
      <c r="K24" s="216" t="str">
        <f>'03. Seguimiento VF Autorizadas'!F18</f>
        <v>Adjudicado. Contrato No. 2005-2025 (01 de agosto)</v>
      </c>
      <c r="L24" s="216" t="s">
        <v>285</v>
      </c>
    </row>
    <row r="25" spans="1:12" ht="39.950000000000003" customHeight="1" x14ac:dyDescent="0.25">
      <c r="A25" s="202"/>
      <c r="B25" s="218"/>
      <c r="C25" s="109" t="s">
        <v>275</v>
      </c>
      <c r="D25" s="112">
        <f>'03. Seguimiento VF Autorizadas'!I18</f>
        <v>522270926</v>
      </c>
      <c r="E25" s="112">
        <f>'03. Seguimiento VF Autorizadas'!J18</f>
        <v>2229823402</v>
      </c>
      <c r="F25" s="112">
        <f>'03. Seguimiento VF Autorizadas'!K18</f>
        <v>2256089375</v>
      </c>
      <c r="G25" s="112">
        <f>Tabla4[[#This Row],[VF 2026]]+Tabla4[[#This Row],[VF 2027]]</f>
        <v>4485912777</v>
      </c>
      <c r="H25" s="112">
        <f>Tabla4[[#This Row],[Aprop. 2025]]+Tabla4[[#This Row],[ TOTAL  vf]]</f>
        <v>5008183703</v>
      </c>
      <c r="I25" s="113">
        <f>'03. Seguimiento VF Autorizadas'!M18</f>
        <v>0</v>
      </c>
      <c r="J25" s="205"/>
      <c r="K25" s="216"/>
      <c r="L25" s="216"/>
    </row>
    <row r="26" spans="1:12" ht="39.950000000000003" customHeight="1" x14ac:dyDescent="0.25">
      <c r="A26" s="210" t="s">
        <v>16</v>
      </c>
      <c r="B26" s="211" t="s">
        <v>272</v>
      </c>
      <c r="C26" s="107" t="s">
        <v>273</v>
      </c>
      <c r="D26" s="110">
        <f>'02. Detalle de VF 2025'!J28</f>
        <v>1367913840</v>
      </c>
      <c r="E26" s="110">
        <f>'02. Detalle de VF 2025'!K28</f>
        <v>2536112256</v>
      </c>
      <c r="F26" s="110">
        <f>'02. Detalle de VF 2025'!L28</f>
        <v>2690561496</v>
      </c>
      <c r="G26" s="110">
        <f>Tabla4[[#This Row],[VF 2026]]+Tabla4[[#This Row],[VF 2027]]</f>
        <v>5226673752</v>
      </c>
      <c r="H26" s="111">
        <f>Tabla4[[#This Row],[Aprop. 2025]]+Tabla4[[#This Row],[ TOTAL  vf]]</f>
        <v>6594587592</v>
      </c>
      <c r="I26" s="110">
        <f>Tabla4[[#This Row],[Aprop. 2025]]</f>
        <v>1367913840</v>
      </c>
      <c r="J26" s="212">
        <f>G27/Tabla4[[#This Row],[ TOTAL  vf]]</f>
        <v>0.48494943979047883</v>
      </c>
      <c r="K26" s="204" t="str">
        <f>'03. Seguimiento VF Autorizadas'!F19</f>
        <v>Contrato 1759 de 2025 en ejecución hasta 31 de diciembre de 2026, en proyectó de reunión para articular con la SUBRED y poder modificar el contrato para llevar la vigencia hasta 31 de diciembre de 2027.</v>
      </c>
      <c r="L26" s="204" t="s">
        <v>286</v>
      </c>
    </row>
    <row r="27" spans="1:12" ht="39.950000000000003" customHeight="1" x14ac:dyDescent="0.25">
      <c r="A27" s="210"/>
      <c r="B27" s="214"/>
      <c r="C27" s="108" t="s">
        <v>275</v>
      </c>
      <c r="D27" s="114">
        <f>'03. Seguimiento VF Autorizadas'!I19</f>
        <v>1367913840</v>
      </c>
      <c r="E27" s="114">
        <f>'03. Seguimiento VF Autorizadas'!J19</f>
        <v>2534672508</v>
      </c>
      <c r="F27" s="114">
        <f>'03. Seguimiento VF Autorizadas'!K19</f>
        <v>0</v>
      </c>
      <c r="G27" s="116">
        <f>Tabla4[[#This Row],[VF 2026]]+Tabla4[[#This Row],[VF 2027]]</f>
        <v>2534672508</v>
      </c>
      <c r="H27" s="116">
        <f>Tabla4[[#This Row],[Aprop. 2025]]+Tabla4[[#This Row],[ TOTAL  vf]]</f>
        <v>3902586348</v>
      </c>
      <c r="I27" s="115">
        <f>'03. Seguimiento VF Autorizadas'!M19</f>
        <v>187976475</v>
      </c>
      <c r="J27" s="213"/>
      <c r="K27" s="204"/>
      <c r="L27" s="204"/>
    </row>
    <row r="28" spans="1:12" ht="39.950000000000003" customHeight="1" x14ac:dyDescent="0.25">
      <c r="A28" s="202" t="s">
        <v>18</v>
      </c>
      <c r="B28" s="215" t="s">
        <v>276</v>
      </c>
      <c r="C28" s="107" t="s">
        <v>273</v>
      </c>
      <c r="D28" s="110">
        <f>'02. Detalle de VF 2025'!J29+'02. Detalle de VF 2025'!J30+'02. Detalle de VF 2025'!J31</f>
        <v>597841887</v>
      </c>
      <c r="E28" s="110">
        <f>'02. Detalle de VF 2025'!K29+'02. Detalle de VF 2025'!K30+'02. Detalle de VF 2025'!K31</f>
        <v>1256781504</v>
      </c>
      <c r="F28" s="110">
        <f>'02. Detalle de VF 2025'!L29+'02. Detalle de VF 2025'!L30+'02. Detalle de VF 2025'!L31</f>
        <v>1322134142</v>
      </c>
      <c r="G28" s="110">
        <f>Tabla4[[#This Row],[VF 2026]]+Tabla4[[#This Row],[VF 2027]]</f>
        <v>2578915646</v>
      </c>
      <c r="H28" s="111">
        <f>Tabla4[[#This Row],[Aprop. 2025]]+Tabla4[[#This Row],[ TOTAL  vf]]</f>
        <v>3176757533</v>
      </c>
      <c r="I28" s="110">
        <f>Tabla4[[#This Row],[Aprop. 2025]]</f>
        <v>597841887</v>
      </c>
      <c r="J28" s="205">
        <f>G29/Tabla4[[#This Row],[ TOTAL  vf]]</f>
        <v>0.9220576100223481</v>
      </c>
      <c r="K28" s="216" t="str">
        <f>_xlfn.CONCAT("PARQUEADERO: ",'03. Seguimiento VF Autorizadas'!F20," PUESTO DE CONTROL SUMAPAZ: ",'03. Seguimiento VF Autorizadas'!F21," AUXPO: ",'03. Seguimiento VF Autorizadas'!F22)</f>
        <v>PARQUEADERO: Contrato Adjudicado SCJ-2071-2025 (05 de septiembre) PUESTO DE CONTROL SUMAPAZ: Se solicitó derogatoria de la vigencia futura meDiante memorandoINTERNO n°3-2025-31824,  toda vez que el predio se encuentra en negociaciones con la secretaria d eambiente y el acueducto de Bogotá para entrega en comodato a la SCJ. AUXPO: Contrato Adjudicado SCJ-2057-2025 (29 de agosto)</v>
      </c>
      <c r="L28" s="216" t="s">
        <v>287</v>
      </c>
    </row>
    <row r="29" spans="1:12" ht="39.950000000000003" customHeight="1" x14ac:dyDescent="0.25">
      <c r="A29" s="202"/>
      <c r="B29" s="203"/>
      <c r="C29" s="108" t="s">
        <v>275</v>
      </c>
      <c r="D29" s="114">
        <f>'03. Seguimiento VF Autorizadas'!I20+'03. Seguimiento VF Autorizadas'!I21+'03. Seguimiento VF Autorizadas'!I22</f>
        <v>394396752</v>
      </c>
      <c r="E29" s="114">
        <f>'03. Seguimiento VF Autorizadas'!J20+'03. Seguimiento VF Autorizadas'!J21+'03. Seguimiento VF Autorizadas'!J22</f>
        <v>1171383657</v>
      </c>
      <c r="F29" s="114">
        <f>'03. Seguimiento VF Autorizadas'!K20+'03. Seguimiento VF Autorizadas'!K21+'03. Seguimiento VF Autorizadas'!K22</f>
        <v>1206525140</v>
      </c>
      <c r="G29" s="116">
        <f>Tabla4[[#This Row],[VF 2026]]+Tabla4[[#This Row],[VF 2027]]</f>
        <v>2377908797</v>
      </c>
      <c r="H29" s="116">
        <f>Tabla4[[#This Row],[Aprop. 2025]]+Tabla4[[#This Row],[ TOTAL  vf]]</f>
        <v>2772305549</v>
      </c>
      <c r="I29" s="115">
        <f>'03. Seguimiento VF Autorizadas'!M20+'03. Seguimiento VF Autorizadas'!M21+'03. Seguimiento VF Autorizadas'!M22</f>
        <v>84048000</v>
      </c>
      <c r="J29" s="205"/>
      <c r="K29" s="216"/>
      <c r="L29" s="216"/>
    </row>
    <row r="30" spans="1:12" ht="39.950000000000003" customHeight="1" x14ac:dyDescent="0.25">
      <c r="A30" s="210" t="s">
        <v>34</v>
      </c>
      <c r="B30" s="211" t="s">
        <v>288</v>
      </c>
      <c r="C30" s="107" t="s">
        <v>273</v>
      </c>
      <c r="D30" s="110">
        <f>'02. Detalle de VF 2025'!J32</f>
        <v>465000000</v>
      </c>
      <c r="E30" s="110">
        <f>'02. Detalle de VF 2025'!K32</f>
        <v>2170000000</v>
      </c>
      <c r="F30" s="110">
        <f>'02. Detalle de VF 2025'!L32</f>
        <v>0</v>
      </c>
      <c r="G30" s="110">
        <f>Tabla4[[#This Row],[VF 2026]]+Tabla4[[#This Row],[VF 2027]]</f>
        <v>2170000000</v>
      </c>
      <c r="H30" s="111">
        <f>Tabla4[[#This Row],[Aprop. 2025]]+Tabla4[[#This Row],[ TOTAL  vf]]</f>
        <v>2635000000</v>
      </c>
      <c r="I30" s="110">
        <f>Tabla4[[#This Row],[Aprop. 2025]]</f>
        <v>465000000</v>
      </c>
      <c r="J30" s="212">
        <f>G31/Tabla4[[#This Row],[ TOTAL  vf]]</f>
        <v>0.12857142857142856</v>
      </c>
      <c r="K30" s="204" t="str">
        <f>'03. Seguimiento VF Autorizadas'!F23</f>
        <v xml:space="preserve">20 procesos asociados a la dirección de previencion de los cuales se encuentran 9 firmados y perfecionados, 10 radicados en la direccion juridica y contractual y 1 pendiente por radicar se estima que para 29 de septiembre se radique
50 procesos asociados a la Subsecretaria con inicio de ejecucion en diciembre, por lo que la dirección juridica no los recibe aun </v>
      </c>
      <c r="L30" s="204"/>
    </row>
    <row r="31" spans="1:12" ht="39.950000000000003" customHeight="1" x14ac:dyDescent="0.25">
      <c r="A31" s="210"/>
      <c r="B31" s="211"/>
      <c r="C31" s="108" t="s">
        <v>275</v>
      </c>
      <c r="D31" s="114">
        <f>'03. Seguimiento VF Autorizadas'!I23</f>
        <v>139500000</v>
      </c>
      <c r="E31" s="114">
        <f>'03. Seguimiento VF Autorizadas'!J23</f>
        <v>279000000</v>
      </c>
      <c r="F31" s="114">
        <f>'03. Seguimiento VF Autorizadas'!K23</f>
        <v>0</v>
      </c>
      <c r="G31" s="116">
        <f>Tabla4[[#This Row],[VF 2026]]+Tabla4[[#This Row],[VF 2027]]</f>
        <v>279000000</v>
      </c>
      <c r="H31" s="116">
        <f>Tabla4[[#This Row],[Aprop. 2025]]+Tabla4[[#This Row],[ TOTAL  vf]]</f>
        <v>418500000</v>
      </c>
      <c r="I31" s="115">
        <f>'03. Seguimiento VF Autorizadas'!M23</f>
        <v>0</v>
      </c>
      <c r="J31" s="212"/>
      <c r="K31" s="204"/>
      <c r="L31" s="204"/>
    </row>
    <row r="32" spans="1:12" ht="49.5" customHeight="1" x14ac:dyDescent="0.25">
      <c r="A32" s="202" t="s">
        <v>35</v>
      </c>
      <c r="B32" s="203" t="s">
        <v>289</v>
      </c>
      <c r="C32" s="107" t="s">
        <v>273</v>
      </c>
      <c r="D32" s="110">
        <f>'02. Detalle de VF 2025'!J33+'02. Detalle de VF 2025'!J34+'02. Detalle de VF 2025'!J35+'02. Detalle de VF 2025'!J36</f>
        <v>18420262792</v>
      </c>
      <c r="E32" s="110">
        <f>'02. Detalle de VF 2025'!K33+'02. Detalle de VF 2025'!K34+'02. Detalle de VF 2025'!K35+'02. Detalle de VF 2025'!K36</f>
        <v>58556551740</v>
      </c>
      <c r="F32" s="110">
        <f>'02. Detalle de VF 2025'!L33+'02. Detalle de VF 2025'!L34+'02. Detalle de VF 2025'!L35+'02. Detalle de VF 2025'!L36</f>
        <v>0</v>
      </c>
      <c r="G32" s="110">
        <f>Tabla4[[#This Row],[VF 2026]]+Tabla4[[#This Row],[VF 2027]]</f>
        <v>58556551740</v>
      </c>
      <c r="H32" s="111">
        <f>Tabla4[[#This Row],[Aprop. 2025]]+Tabla4[[#This Row],[ TOTAL  vf]]</f>
        <v>76976814532</v>
      </c>
      <c r="I32" s="110">
        <f>Tabla4[[#This Row],[Aprop. 2025]]</f>
        <v>18420262792</v>
      </c>
      <c r="J32" s="205">
        <f>G33/Tabla4[[#This Row],[ TOTAL  vf]]</f>
        <v>0.97093503083042032</v>
      </c>
      <c r="K32" s="204" t="s">
        <v>290</v>
      </c>
      <c r="L32" s="204" t="s">
        <v>291</v>
      </c>
    </row>
    <row r="33" spans="1:12" ht="49.5" customHeight="1" x14ac:dyDescent="0.25">
      <c r="A33" s="202"/>
      <c r="B33" s="203"/>
      <c r="C33" s="109" t="s">
        <v>275</v>
      </c>
      <c r="D33" s="112">
        <f>'03. Seguimiento VF Autorizadas'!I24+'03. Seguimiento VF Autorizadas'!I25</f>
        <v>18026085814</v>
      </c>
      <c r="E33" s="112">
        <f>'03. Seguimiento VF Autorizadas'!J24+'03. Seguimiento VF Autorizadas'!J25</f>
        <v>56854607369</v>
      </c>
      <c r="F33" s="112">
        <f>'03. Seguimiento VF Autorizadas'!K24+'03. Seguimiento VF Autorizadas'!K25</f>
        <v>0</v>
      </c>
      <c r="G33" s="112">
        <f>Tabla4[[#This Row],[VF 2026]]+Tabla4[[#This Row],[VF 2027]]</f>
        <v>56854607369</v>
      </c>
      <c r="H33" s="112">
        <f>Tabla4[[#This Row],[Aprop. 2025]]+Tabla4[[#This Row],[ TOTAL  vf]]</f>
        <v>74880693183</v>
      </c>
      <c r="I33" s="113">
        <f>'03. Seguimiento VF Autorizadas'!M24+'03. Seguimiento VF Autorizadas'!M25</f>
        <v>0</v>
      </c>
      <c r="J33" s="205"/>
      <c r="K33" s="204"/>
      <c r="L33" s="204"/>
    </row>
    <row r="34" spans="1:12" ht="21" x14ac:dyDescent="0.25">
      <c r="A34" s="206" t="s">
        <v>1</v>
      </c>
      <c r="B34" s="207"/>
      <c r="C34" s="119" t="s">
        <v>273</v>
      </c>
      <c r="D34" s="120">
        <f>D2+D4+D6+D8+D10+D12+D14+D16+D18+D20+D22+D24+D26+D28+D30+D32</f>
        <v>75309402805.0625</v>
      </c>
      <c r="E34" s="120">
        <f t="shared" ref="E34:I34" si="0">E2+E4+E6+E8+E10+E12+E14+E16+E18+E20+E22+E24+E26+E28+E30+E32</f>
        <v>149406475196.25</v>
      </c>
      <c r="F34" s="120">
        <f t="shared" si="0"/>
        <v>83500040609</v>
      </c>
      <c r="G34" s="120">
        <f t="shared" si="0"/>
        <v>232906515805.25</v>
      </c>
      <c r="H34" s="120">
        <f t="shared" si="0"/>
        <v>308215918610.3125</v>
      </c>
      <c r="I34" s="120">
        <f t="shared" si="0"/>
        <v>75309402805.0625</v>
      </c>
      <c r="J34" s="200">
        <f>G35/G34</f>
        <v>0.71462260811188616</v>
      </c>
      <c r="K34" s="201"/>
      <c r="L34" s="201"/>
    </row>
    <row r="35" spans="1:12" ht="21" x14ac:dyDescent="0.25">
      <c r="A35" s="208"/>
      <c r="B35" s="209"/>
      <c r="C35" s="119" t="s">
        <v>275</v>
      </c>
      <c r="D35" s="120">
        <f>D3+D5+D7+D9+D11+D13+D15+D17+D19+D21+D23+D25+D27+D29+D31+D33</f>
        <v>51164159358</v>
      </c>
      <c r="E35" s="120">
        <f t="shared" ref="E35:I35" si="1">E3+E5+E7+E9+E11+E13+E15+E17+E19+E21+E23+E25+E27+E29+E31+E33</f>
        <v>123153511965</v>
      </c>
      <c r="F35" s="120">
        <f t="shared" si="1"/>
        <v>43286749806</v>
      </c>
      <c r="G35" s="120">
        <f t="shared" si="1"/>
        <v>166440261771</v>
      </c>
      <c r="H35" s="120">
        <f t="shared" si="1"/>
        <v>217604421129</v>
      </c>
      <c r="I35" s="120">
        <f t="shared" si="1"/>
        <v>1005193044</v>
      </c>
      <c r="J35" s="200"/>
      <c r="K35" s="201"/>
      <c r="L35" s="201"/>
    </row>
    <row r="36" spans="1:12" ht="21" x14ac:dyDescent="0.25">
      <c r="A36" s="208"/>
      <c r="B36" s="209"/>
      <c r="C36" s="119" t="s">
        <v>292</v>
      </c>
      <c r="D36" s="175">
        <f t="shared" ref="D36:I36" si="2">D35/D34</f>
        <v>0.67938607202128298</v>
      </c>
      <c r="E36" s="175">
        <f t="shared" si="2"/>
        <v>0.82428497026808289</v>
      </c>
      <c r="F36" s="175">
        <f t="shared" si="2"/>
        <v>0.51840393717526367</v>
      </c>
      <c r="G36" s="175">
        <f t="shared" si="2"/>
        <v>0.71462260811188616</v>
      </c>
      <c r="H36" s="175">
        <f t="shared" si="2"/>
        <v>0.70601292142903371</v>
      </c>
      <c r="I36" s="175">
        <f t="shared" si="2"/>
        <v>1.3347510490847076E-2</v>
      </c>
    </row>
    <row r="38" spans="1:12" x14ac:dyDescent="0.25">
      <c r="E38" s="174">
        <f>+E32-E33</f>
        <v>1701944371</v>
      </c>
    </row>
  </sheetData>
  <autoFilter ref="J1:K35" xr:uid="{77FE614B-7328-4325-942B-FB1F07A2B37A}"/>
  <mergeCells count="80">
    <mergeCell ref="L28:L29"/>
    <mergeCell ref="K8:K9"/>
    <mergeCell ref="L32:L33"/>
    <mergeCell ref="L34:L35"/>
    <mergeCell ref="L2:L3"/>
    <mergeCell ref="L4:L5"/>
    <mergeCell ref="L6:L7"/>
    <mergeCell ref="L8:L9"/>
    <mergeCell ref="L10:L11"/>
    <mergeCell ref="L12:L13"/>
    <mergeCell ref="L14:L15"/>
    <mergeCell ref="L16:L17"/>
    <mergeCell ref="L18:L19"/>
    <mergeCell ref="L20:L21"/>
    <mergeCell ref="L22:L23"/>
    <mergeCell ref="L24:L25"/>
    <mergeCell ref="L26:L27"/>
    <mergeCell ref="K14:K15"/>
    <mergeCell ref="L30:L31"/>
    <mergeCell ref="A2:A3"/>
    <mergeCell ref="B2:B3"/>
    <mergeCell ref="K2:K3"/>
    <mergeCell ref="A4:A5"/>
    <mergeCell ref="B4:B5"/>
    <mergeCell ref="K4:K5"/>
    <mergeCell ref="J2:J3"/>
    <mergeCell ref="J4:J5"/>
    <mergeCell ref="A16:A17"/>
    <mergeCell ref="B16:B17"/>
    <mergeCell ref="K16:K17"/>
    <mergeCell ref="A6:A7"/>
    <mergeCell ref="K6:K7"/>
    <mergeCell ref="A8:A9"/>
    <mergeCell ref="J6:J7"/>
    <mergeCell ref="J8:J9"/>
    <mergeCell ref="A18:A19"/>
    <mergeCell ref="B18:B19"/>
    <mergeCell ref="A10:A11"/>
    <mergeCell ref="A12:A13"/>
    <mergeCell ref="A14:A15"/>
    <mergeCell ref="B14:B15"/>
    <mergeCell ref="K18:K19"/>
    <mergeCell ref="J10:J11"/>
    <mergeCell ref="J12:J13"/>
    <mergeCell ref="J14:J15"/>
    <mergeCell ref="J16:J17"/>
    <mergeCell ref="J18:J19"/>
    <mergeCell ref="K10:K11"/>
    <mergeCell ref="K12:K13"/>
    <mergeCell ref="A20:A21"/>
    <mergeCell ref="B20:B21"/>
    <mergeCell ref="K20:K21"/>
    <mergeCell ref="J20:J21"/>
    <mergeCell ref="A22:A23"/>
    <mergeCell ref="B22:B23"/>
    <mergeCell ref="K22:K23"/>
    <mergeCell ref="A24:A25"/>
    <mergeCell ref="K24:K25"/>
    <mergeCell ref="J22:J23"/>
    <mergeCell ref="J24:J25"/>
    <mergeCell ref="B24:B25"/>
    <mergeCell ref="A30:A31"/>
    <mergeCell ref="B30:B31"/>
    <mergeCell ref="K30:K31"/>
    <mergeCell ref="J26:J27"/>
    <mergeCell ref="J30:J31"/>
    <mergeCell ref="J28:J29"/>
    <mergeCell ref="A26:A27"/>
    <mergeCell ref="B26:B27"/>
    <mergeCell ref="K26:K27"/>
    <mergeCell ref="A28:A29"/>
    <mergeCell ref="B28:B29"/>
    <mergeCell ref="K28:K29"/>
    <mergeCell ref="J34:J35"/>
    <mergeCell ref="K34:K35"/>
    <mergeCell ref="A32:A33"/>
    <mergeCell ref="B32:B33"/>
    <mergeCell ref="K32:K33"/>
    <mergeCell ref="J32:J33"/>
    <mergeCell ref="A34:B36"/>
  </mergeCells>
  <pageMargins left="0.7" right="0.7" top="0.75" bottom="0.75" header="0.3" footer="0.3"/>
  <pageSetup scale="35"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1E99FAF05FF7541B34AA57CA41D7DD7" ma:contentTypeVersion="20" ma:contentTypeDescription="Crear nuevo documento." ma:contentTypeScope="" ma:versionID="3f93c3bca4142575cda5b91e2b92cef5">
  <xsd:schema xmlns:xsd="http://www.w3.org/2001/XMLSchema" xmlns:xs="http://www.w3.org/2001/XMLSchema" xmlns:p="http://schemas.microsoft.com/office/2006/metadata/properties" xmlns:ns1="http://schemas.microsoft.com/sharepoint/v3" xmlns:ns2="e9e03199-3cef-40d5-b983-e1b114254a1e" xmlns:ns3="46057e6e-681c-45f9-ad46-2a215596ba15" targetNamespace="http://schemas.microsoft.com/office/2006/metadata/properties" ma:root="true" ma:fieldsID="fe2acc450b6ea20c123068a8bffc76ba" ns1:_="" ns2:_="" ns3:_="">
    <xsd:import namespace="http://schemas.microsoft.com/sharepoint/v3"/>
    <xsd:import namespace="e9e03199-3cef-40d5-b983-e1b114254a1e"/>
    <xsd:import namespace="46057e6e-681c-45f9-ad46-2a215596ba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FECHA" minOccurs="0"/>
                <xsd:element ref="ns2:MediaServiceObjectDetectorVersions" minOccurs="0"/>
                <xsd:element ref="ns2:MediaServiceGenerationTime" minOccurs="0"/>
                <xsd:element ref="ns2:MediaServiceEventHashCode" minOccurs="0"/>
                <xsd:element ref="ns2:MediaServiceSearchProperties" minOccurs="0"/>
                <xsd:element ref="ns2:lcf76f155ced4ddcb4097134ff3c332f" minOccurs="0"/>
                <xsd:element ref="ns3:TaxCatchAll" minOccurs="0"/>
                <xsd:element ref="ns2:MediaServiceOCR" minOccurs="0"/>
                <xsd:element ref="ns2:Observaciones" minOccurs="0"/>
                <xsd:element ref="ns2:MediaServiceBillingMetadata" minOccurs="0"/>
                <xsd:element ref="ns1:_ip_UnifiedCompliancePolicyProperties" minOccurs="0"/>
                <xsd:element ref="ns1:_ip_UnifiedCompliancePolicyUIAction" minOccurs="0"/>
                <xsd:element ref="ns2:DocumentosdelRadica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Propiedades de la Directiva de cumplimiento unificado" ma:hidden="true" ma:internalName="_ip_UnifiedCompliancePolicyProperties">
      <xsd:simpleType>
        <xsd:restriction base="dms:Note"/>
      </xsd:simpleType>
    </xsd:element>
    <xsd:element name="_ip_UnifiedCompliancePolicyUIAction" ma:index="2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e03199-3cef-40d5-b983-e1b114254a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FECHA" ma:index="14" nillable="true" ma:displayName="FECHA" ma:format="DateTime" ma:internalName="FECHA">
      <xsd:simpleType>
        <xsd:restriction base="dms:DateTim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5d09d035-a677-4b24-aeee-1a5c3beaf18c"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Observaciones" ma:index="23" nillable="true" ma:displayName="Observaciones" ma:format="Dropdown" ma:internalName="Observaciones">
      <xsd:simpleType>
        <xsd:restriction base="dms:Text">
          <xsd:maxLength value="255"/>
        </xsd:restriction>
      </xsd:simpleType>
    </xsd:element>
    <xsd:element name="MediaServiceBillingMetadata" ma:index="24" nillable="true" ma:displayName="MediaServiceBillingMetadata" ma:hidden="true" ma:internalName="MediaServiceBillingMetadata" ma:readOnly="true">
      <xsd:simpleType>
        <xsd:restriction base="dms:Note"/>
      </xsd:simpleType>
    </xsd:element>
    <xsd:element name="DocumentosdelRadicado" ma:index="27" nillable="true" ma:displayName="Documentos del Radicado" ma:format="Dropdown" ma:internalName="DocumentosdelRadicad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46057e6e-681c-45f9-ad46-2a215596ba15"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a66e847e-f8e3-4a63-9301-37d212b0781f}" ma:internalName="TaxCatchAll" ma:showField="CatchAllData" ma:web="46057e6e-681c-45f9-ad46-2a215596ba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9e03199-3cef-40d5-b983-e1b114254a1e">
      <Terms xmlns="http://schemas.microsoft.com/office/infopath/2007/PartnerControls"/>
    </lcf76f155ced4ddcb4097134ff3c332f>
    <TaxCatchAll xmlns="46057e6e-681c-45f9-ad46-2a215596ba15" xsi:nil="true"/>
    <Observaciones xmlns="e9e03199-3cef-40d5-b983-e1b114254a1e">2</Observaciones>
    <FECHA xmlns="e9e03199-3cef-40d5-b983-e1b114254a1e" xsi:nil="true"/>
    <_ip_UnifiedCompliancePolicyUIAction xmlns="http://schemas.microsoft.com/sharepoint/v3" xsi:nil="true"/>
    <_ip_UnifiedCompliancePolicyProperties xmlns="http://schemas.microsoft.com/sharepoint/v3" xsi:nil="true"/>
    <DocumentosdelRadicado xmlns="e9e03199-3cef-40d5-b983-e1b114254a1e">2</DocumentosdelRadicado>
  </documentManagement>
</p:properties>
</file>

<file path=customXml/itemProps1.xml><?xml version="1.0" encoding="utf-8"?>
<ds:datastoreItem xmlns:ds="http://schemas.openxmlformats.org/officeDocument/2006/customXml" ds:itemID="{4A09320E-8872-411E-BB8A-92E3B1A9E918}"/>
</file>

<file path=customXml/itemProps2.xml><?xml version="1.0" encoding="utf-8"?>
<ds:datastoreItem xmlns:ds="http://schemas.openxmlformats.org/officeDocument/2006/customXml" ds:itemID="{502F923A-163E-4E7F-94FD-A77B90FA9847}">
  <ds:schemaRefs>
    <ds:schemaRef ds:uri="http://schemas.microsoft.com/sharepoint/v3/contenttype/forms"/>
  </ds:schemaRefs>
</ds:datastoreItem>
</file>

<file path=customXml/itemProps3.xml><?xml version="1.0" encoding="utf-8"?>
<ds:datastoreItem xmlns:ds="http://schemas.openxmlformats.org/officeDocument/2006/customXml" ds:itemID="{A20BF5CF-F0E2-45D7-A3E6-EADEFAB1E629}">
  <ds:schemaRefs>
    <ds:schemaRef ds:uri="http://www.w3.org/XML/1998/namespace"/>
    <ds:schemaRef ds:uri="http://schemas.microsoft.com/sharepoint/v3"/>
    <ds:schemaRef ds:uri="http://schemas.openxmlformats.org/package/2006/metadata/core-properties"/>
    <ds:schemaRef ds:uri="http://schemas.microsoft.com/office/2006/documentManagement/types"/>
    <ds:schemaRef ds:uri="http://purl.org/dc/elements/1.1/"/>
    <ds:schemaRef ds:uri="e9e03199-3cef-40d5-b983-e1b114254a1e"/>
    <ds:schemaRef ds:uri="http://purl.org/dc/terms/"/>
    <ds:schemaRef ds:uri="http://purl.org/dc/dcmitype/"/>
    <ds:schemaRef ds:uri="http://schemas.microsoft.com/office/infopath/2007/PartnerControls"/>
    <ds:schemaRef ds:uri="46057e6e-681c-45f9-ad46-2a215596ba1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Hoja1</vt:lpstr>
      <vt:lpstr>01. Resumen</vt:lpstr>
      <vt:lpstr>02. Detalle de VF 2025</vt:lpstr>
      <vt:lpstr>03. Seguimiento VF Autorizadas</vt:lpstr>
      <vt:lpstr>04. Informe de Ejecución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Ruby Lorena Cruz Cruz</dc:creator>
  <cp:keywords/>
  <dc:description/>
  <cp:lastModifiedBy>Ruby Lorena Cruz Cruz</cp:lastModifiedBy>
  <cp:revision/>
  <dcterms:created xsi:type="dcterms:W3CDTF">2025-05-28T16:24:16Z</dcterms:created>
  <dcterms:modified xsi:type="dcterms:W3CDTF">2025-10-29T18:25:45Z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0x01010071E99FAF05FF7541B34AA57CA41D7DD7</vt:lpwstr>
  </property>
  <property fmtid="{D5CDD505-2E9C-101B-9397-08002B2CF9AE}" pid="3" name="MediaServiceImageTags">
    <vt:lpwstr/>
  </property>
</Properties>
</file>